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.1-1 Procjena STG P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<sst xmlns="http://schemas.openxmlformats.org/spreadsheetml/2006/main" count="4212" uniqueCount="1672">
  <si>
    <t xml:space="preserve">R.br.</t>
  </si>
  <si>
    <t xml:space="preserve">Inv.</t>
  </si>
  <si>
    <t xml:space="preserve">God.</t>
  </si>
  <si>
    <t xml:space="preserve">Jedinična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</si>
  <si>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</si>
  <si>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</si>
  <si>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</si>
  <si>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</si>
  <si>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</si>
  <si>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</si>
  <si>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</si>
  <si>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NNV</t>
  </si>
  <si>
    <t xml:space="preserve">Ukupno</t>
  </si>
  <si>
    <t xml:space="preserve">god.</t>
  </si>
  <si>
    <t xml:space="preserve">KN./kom.</t>
  </si>
  <si>
    <t xml:space="preserve">kom.</t>
  </si>
  <si>
    <t xml:space="preserve">KN.</t>
  </si>
  <si>
    <t xml:space="preserve">F001</t>
  </si>
  <si>
    <r>
      <rPr>
        <sz val="10"/>
        <rFont val="Arial"/>
        <family val="2"/>
        <charset val="238"/>
      </rPr>
      <t xml:space="preserve">PEĆ PLINSKA </t>
    </r>
    <r>
      <rPr>
        <sz val="8"/>
        <rFont val="Arial"/>
        <family val="2"/>
        <charset val="238"/>
      </rPr>
      <t xml:space="preserve">''MAJA 12''</t>
    </r>
  </si>
  <si>
    <r>
      <rPr>
        <sz val="10"/>
        <rFont val="Arial"/>
        <family val="2"/>
        <charset val="238"/>
      </rPr>
      <t xml:space="preserve">HLADNJAK, </t>
    </r>
    <r>
      <rPr>
        <sz val="8"/>
        <rFont val="Arial"/>
        <family val="2"/>
        <charset val="238"/>
      </rPr>
      <t xml:space="preserve">R 142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</si>
  <si>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MITSUBISHI DAIYA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</si>
  <si>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2100 Prinstation</t>
    </r>
  </si>
  <si>
    <r>
      <rPr>
        <sz val="10"/>
        <rFont val="Arial"/>
        <family val="2"/>
        <charset val="238"/>
      </rPr>
      <t xml:space="preserve">SWITCH, </t>
    </r>
    <r>
      <rPr>
        <sz val="8"/>
        <rFont val="Arial"/>
        <family val="2"/>
        <charset val="238"/>
      </rPr>
      <t xml:space="preserve">AT FS724I UNMANAGED</t>
    </r>
  </si>
  <si>
    <r>
      <rPr>
        <sz val="10"/>
        <rFont val="Arial"/>
        <family val="2"/>
        <charset val="238"/>
      </rPr>
      <t xml:space="preserve">TELEFAX, </t>
    </r>
    <r>
      <rPr>
        <sz val="8"/>
        <rFont val="Arial"/>
        <family val="2"/>
        <charset val="238"/>
      </rPr>
      <t xml:space="preserve">Panasonic, KX-FM 13</t>
    </r>
  </si>
  <si>
    <t xml:space="preserve">USISAVAČ,  De Longhi, Aquill</t>
  </si>
  <si>
    <t xml:space="preserve">PROJEKTOR SONY i Projektno platno</t>
  </si>
  <si>
    <r>
      <rPr>
        <sz val="10"/>
        <rFont val="Arial"/>
        <family val="2"/>
        <charset val="238"/>
      </rPr>
      <t xml:space="preserve">TERMINAL, ručni, </t>
    </r>
    <r>
      <rPr>
        <sz val="8"/>
        <rFont val="Arial"/>
        <family val="2"/>
        <charset val="238"/>
      </rPr>
      <t xml:space="preserve">PDT 6100</t>
    </r>
  </si>
  <si>
    <t xml:space="preserve">POSTOLJE za prijenos podataka</t>
  </si>
  <si>
    <r>
      <rPr>
        <sz val="10"/>
        <rFont val="Arial"/>
        <family val="2"/>
        <charset val="238"/>
      </rPr>
      <t xml:space="preserve">PEĆ, termo, </t>
    </r>
    <r>
      <rPr>
        <sz val="8"/>
        <rFont val="Arial"/>
        <family val="2"/>
        <charset val="238"/>
      </rPr>
      <t xml:space="preserve">ELIND 3,5 kW</t>
    </r>
  </si>
  <si>
    <r>
      <rPr>
        <sz val="10"/>
        <rFont val="Arial"/>
        <family val="2"/>
        <charset val="238"/>
      </rPr>
      <t xml:space="preserve">PEĆ, plinska, </t>
    </r>
    <r>
      <rPr>
        <sz val="8"/>
        <rFont val="Arial"/>
        <family val="2"/>
        <charset val="238"/>
      </rPr>
      <t xml:space="preserve">VIKTORIJA</t>
    </r>
  </si>
  <si>
    <r>
      <rPr>
        <sz val="10"/>
        <rFont val="Arial"/>
        <family val="2"/>
        <charset val="238"/>
      </rPr>
      <t xml:space="preserve">PISAČ, </t>
    </r>
    <r>
      <rPr>
        <sz val="8"/>
        <rFont val="Arial"/>
        <family val="2"/>
        <charset val="238"/>
      </rPr>
      <t xml:space="preserve">HP, LaserJet 2300 N</t>
    </r>
  </si>
  <si>
    <t xml:space="preserve">HP SERVER</t>
  </si>
  <si>
    <r>
      <rPr>
        <sz val="10"/>
        <rFont val="Arial"/>
        <family val="2"/>
        <charset val="238"/>
      </rPr>
      <t xml:space="preserve">ORMAR 19'' 36U, </t>
    </r>
    <r>
      <rPr>
        <sz val="9"/>
        <rFont val="Arial"/>
        <family val="2"/>
        <charset val="238"/>
      </rPr>
      <t xml:space="preserve">serverski, samostojeći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</si>
  <si>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DeskJet, 6620</t>
    </r>
  </si>
  <si>
    <r>
      <rPr>
        <sz val="10"/>
        <rFont val="Arial"/>
        <family val="2"/>
        <charset val="238"/>
      </rPr>
      <t xml:space="preserve">PRINT SERVER, </t>
    </r>
    <r>
      <rPr>
        <sz val="8"/>
        <rFont val="Arial"/>
        <family val="2"/>
        <charset val="238"/>
      </rPr>
      <t xml:space="preserve">HP, JETDIRECT 170X</t>
    </r>
  </si>
  <si>
    <r>
      <rPr>
        <sz val="10"/>
        <rFont val="Arial"/>
        <family val="2"/>
        <charset val="238"/>
      </rPr>
      <t xml:space="preserve">SWITCH COREGA, </t>
    </r>
    <r>
      <rPr>
        <sz val="8"/>
        <rFont val="Arial"/>
        <family val="2"/>
        <charset val="238"/>
      </rPr>
      <t xml:space="preserve">16x10/100/1000TX</t>
    </r>
  </si>
  <si>
    <r>
      <rPr>
        <sz val="10"/>
        <rFont val="Arial"/>
        <family val="2"/>
        <charset val="238"/>
      </rPr>
      <t xml:space="preserve">KOMPRESOR GA 250 </t>
    </r>
    <r>
      <rPr>
        <sz val="9"/>
        <rFont val="Arial"/>
        <family val="2"/>
        <charset val="238"/>
      </rPr>
      <t xml:space="preserve">(veza Ib. 9769)</t>
    </r>
  </si>
  <si>
    <r>
      <rPr>
        <sz val="10"/>
        <rFont val="Arial"/>
        <family val="2"/>
        <charset val="238"/>
      </rPr>
      <t xml:space="preserve">CONVERTER, </t>
    </r>
    <r>
      <rPr>
        <sz val="8"/>
        <rFont val="Arial"/>
        <family val="2"/>
        <charset val="238"/>
      </rPr>
      <t xml:space="preserve">1000 B.-TX-1000B-SX</t>
    </r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</si>
  <si>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DC5100 CEL 330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</si>
  <si>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SM 710 N</t>
    </r>
  </si>
  <si>
    <r>
      <rPr>
        <sz val="10"/>
        <rFont val="Arial"/>
        <family val="2"/>
        <charset val="238"/>
      </rPr>
      <t xml:space="preserve">CISCO, </t>
    </r>
    <r>
      <rPr>
        <sz val="8"/>
        <rFont val="Arial"/>
        <family val="2"/>
        <charset val="238"/>
      </rPr>
      <t xml:space="preserve">585 LRE CPE 8</t>
    </r>
  </si>
  <si>
    <t xml:space="preserve">ORMAR, drveni, 1-krilni</t>
  </si>
  <si>
    <t xml:space="preserve">STOL, pisaći</t>
  </si>
  <si>
    <t xml:space="preserve">STOL za konferencije</t>
  </si>
  <si>
    <t xml:space="preserve">STOL, radni, drveni</t>
  </si>
  <si>
    <t xml:space="preserve">ORMAR, niski</t>
  </si>
  <si>
    <t xml:space="preserve">STOL, Art. 9704</t>
  </si>
  <si>
    <r>
      <rPr>
        <sz val="10"/>
        <rFont val="Arial"/>
        <family val="2"/>
        <charset val="238"/>
      </rPr>
      <t xml:space="preserve">POLICA ELEMENT, </t>
    </r>
    <r>
      <rPr>
        <sz val="8"/>
        <rFont val="Arial"/>
        <family val="2"/>
        <charset val="238"/>
      </rPr>
      <t xml:space="preserve">Art. 56503</t>
    </r>
  </si>
  <si>
    <t xml:space="preserve">KUHINJA MINI</t>
  </si>
  <si>
    <t xml:space="preserve">ORMAR sa policom</t>
  </si>
  <si>
    <t xml:space="preserve">ORMAR sa staklenom vitrinom</t>
  </si>
  <si>
    <t xml:space="preserve">LADIČAR, pokretni</t>
  </si>
  <si>
    <r>
      <rPr>
        <sz val="10"/>
        <rFont val="Arial"/>
        <family val="2"/>
        <charset val="238"/>
      </rPr>
      <t xml:space="preserve">TELEFONSKA CENTRALA, </t>
    </r>
    <r>
      <rPr>
        <sz val="8"/>
        <rFont val="Arial"/>
        <family val="2"/>
        <charset val="238"/>
      </rPr>
      <t xml:space="preserve">Ericsson (mini)</t>
    </r>
  </si>
  <si>
    <r>
      <rPr>
        <sz val="10"/>
        <rFont val="Arial"/>
        <family val="2"/>
        <charset val="238"/>
      </rPr>
      <t xml:space="preserve">TELEFONSKA CENTRALA, </t>
    </r>
    <r>
      <rPr>
        <sz val="8"/>
        <rFont val="Arial"/>
        <family val="2"/>
        <charset val="238"/>
      </rPr>
      <t xml:space="preserve">Ericsson</t>
    </r>
  </si>
  <si>
    <t xml:space="preserve">DVOSJED, koža, DDQ02</t>
  </si>
  <si>
    <t xml:space="preserve">STOL, ovalni, za sastanke</t>
  </si>
  <si>
    <t xml:space="preserve">STOL, radni, sa dodatkom i ladicama</t>
  </si>
  <si>
    <t xml:space="preserve">ORMAR, 2-krilni</t>
  </si>
  <si>
    <t xml:space="preserve">ORMAR, 2-krila + STAKLO, 2-krila</t>
  </si>
  <si>
    <t xml:space="preserve">TROSJED, koža, DDQ03</t>
  </si>
  <si>
    <t xml:space="preserve">DVOSJED KLUB, kožni</t>
  </si>
  <si>
    <t xml:space="preserve">PLOČA, zidna, 120x300</t>
  </si>
  <si>
    <r>
      <rPr>
        <sz val="10"/>
        <rFont val="Arial"/>
        <family val="2"/>
        <charset val="238"/>
      </rPr>
      <t xml:space="preserve">TELEFON, </t>
    </r>
    <r>
      <rPr>
        <sz val="8"/>
        <rFont val="Arial"/>
        <family val="2"/>
        <charset val="238"/>
      </rPr>
      <t xml:space="preserve">Ericsson, DBC 2130</t>
    </r>
  </si>
  <si>
    <t xml:space="preserve">ORMAR, drveni, 220x90x46</t>
  </si>
  <si>
    <t xml:space="preserve">FOTOAPARAT, digitalni, HP</t>
  </si>
  <si>
    <t xml:space="preserve">STALAK za projektor, na kotačićima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</si>
  <si>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LaseJet 3600DN color</t>
    </r>
  </si>
  <si>
    <r>
      <rPr>
        <sz val="10"/>
        <rFont val="Arial"/>
        <family val="2"/>
        <charset val="238"/>
      </rPr>
      <t xml:space="preserve">TELEFAX, </t>
    </r>
    <r>
      <rPr>
        <sz val="8"/>
        <rFont val="Arial"/>
        <family val="2"/>
        <charset val="238"/>
      </rPr>
      <t xml:space="preserve">Laserski, L-100</t>
    </r>
  </si>
  <si>
    <t xml:space="preserve">SCANNER, Canon, LIDE 75</t>
  </si>
  <si>
    <r>
      <rPr>
        <sz val="10"/>
        <rFont val="Arial"/>
        <family val="2"/>
        <charset val="238"/>
      </rPr>
      <t xml:space="preserve">HP PRO </t>
    </r>
    <r>
      <rPr>
        <sz val="8"/>
        <rFont val="Arial"/>
        <family val="2"/>
        <charset val="238"/>
      </rPr>
      <t xml:space="preserve">CURVE WIRELESS ACCESS POINT</t>
    </r>
  </si>
  <si>
    <r>
      <rPr>
        <sz val="10"/>
        <rFont val="Arial"/>
        <family val="2"/>
        <charset val="238"/>
      </rPr>
      <t xml:space="preserve">TROŠKOVI 20 KLJUČEVA </t>
    </r>
    <r>
      <rPr>
        <sz val="8"/>
        <rFont val="Arial"/>
        <family val="2"/>
        <charset val="238"/>
      </rPr>
      <t xml:space="preserve">(PN.210078)</t>
    </r>
  </si>
  <si>
    <t xml:space="preserve">CATALYST 2960 SWITCH</t>
  </si>
  <si>
    <t xml:space="preserve">PROCURVE SWITCH 1800-24G</t>
  </si>
  <si>
    <t xml:space="preserve">MONITOR LCD 17''</t>
  </si>
  <si>
    <r>
      <rPr>
        <sz val="10"/>
        <rFont val="Arial"/>
        <family val="2"/>
        <charset val="238"/>
      </rPr>
      <t xml:space="preserve">ORMAR, </t>
    </r>
    <r>
      <rPr>
        <sz val="8"/>
        <rFont val="Arial"/>
        <family val="2"/>
        <charset val="238"/>
      </rPr>
      <t xml:space="preserve">kancelarijski, 80x40x190</t>
    </r>
  </si>
  <si>
    <r>
      <rPr>
        <sz val="10"/>
        <rFont val="Arial"/>
        <family val="2"/>
        <charset val="238"/>
      </rPr>
      <t xml:space="preserve">ORMAR, </t>
    </r>
    <r>
      <rPr>
        <sz val="8"/>
        <rFont val="Arial"/>
        <family val="2"/>
        <charset val="238"/>
      </rPr>
      <t xml:space="preserve">kancelarijski, 90x47x147</t>
    </r>
  </si>
  <si>
    <t xml:space="preserve">ORMAR 19", komplet</t>
  </si>
  <si>
    <r>
      <rPr>
        <sz val="10"/>
        <rFont val="Arial"/>
        <family val="2"/>
        <charset val="238"/>
      </rPr>
      <t xml:space="preserve">CONVERTER, </t>
    </r>
    <r>
      <rPr>
        <sz val="8"/>
        <rFont val="Arial"/>
        <family val="2"/>
        <charset val="238"/>
      </rPr>
      <t xml:space="preserve">MMSXLC</t>
    </r>
  </si>
  <si>
    <r>
      <rPr>
        <sz val="10"/>
        <rFont val="Arial"/>
        <family val="2"/>
        <charset val="238"/>
      </rPr>
      <t xml:space="preserve">MREŽNI ORMAR, </t>
    </r>
    <r>
      <rPr>
        <sz val="8"/>
        <rFont val="Arial"/>
        <family val="2"/>
        <charset val="238"/>
      </rPr>
      <t xml:space="preserve">4U/NET</t>
    </r>
  </si>
  <si>
    <t xml:space="preserve">NOTEBOOK</t>
  </si>
  <si>
    <r>
      <rPr>
        <sz val="10"/>
        <rFont val="Arial"/>
        <family val="2"/>
        <charset val="238"/>
      </rPr>
      <t xml:space="preserve">PORT REPLIKATOR </t>
    </r>
    <r>
      <rPr>
        <sz val="8"/>
        <rFont val="Arial"/>
        <family val="2"/>
        <charset val="238"/>
      </rPr>
      <t xml:space="preserve">za Notebook</t>
    </r>
  </si>
  <si>
    <r>
      <rPr>
        <sz val="10"/>
        <rFont val="Arial"/>
        <family val="2"/>
        <charset val="238"/>
      </rPr>
      <t xml:space="preserve">STOL, radni, </t>
    </r>
    <r>
      <rPr>
        <sz val="8"/>
        <rFont val="Arial"/>
        <family val="2"/>
        <charset val="238"/>
      </rPr>
      <t xml:space="preserve">120x80</t>
    </r>
  </si>
  <si>
    <t xml:space="preserve">KUTNI DODATAK za radni stol</t>
  </si>
  <si>
    <t xml:space="preserve">KAZETA POKRETNA za radni stol</t>
  </si>
  <si>
    <t xml:space="preserve">RADNI STOL - DODATAK 80x80</t>
  </si>
  <si>
    <t xml:space="preserve">AUTO NAVIGACIJA GARMIN - GPS</t>
  </si>
  <si>
    <r>
      <rPr>
        <sz val="10"/>
        <rFont val="Arial"/>
        <family val="2"/>
        <charset val="238"/>
      </rPr>
      <t xml:space="preserve">USISIVAČ, </t>
    </r>
    <r>
      <rPr>
        <sz val="8"/>
        <rFont val="Arial"/>
        <family val="2"/>
        <charset val="238"/>
      </rPr>
      <t xml:space="preserve">Elektrolux, SUHI ZAM 6230</t>
    </r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</si>
  <si>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HP, PRO 3120 BUSINESS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</si>
  <si>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22'', B2230N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</si>
  <si>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Samsung, ML-1665</t>
    </r>
  </si>
  <si>
    <t xml:space="preserve">MREŽNI POSLUŽITELJ</t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</si>
  <si>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HP Compaq 6000 PRO MT</t>
    </r>
  </si>
  <si>
    <r>
      <rPr>
        <sz val="10"/>
        <rFont val="Arial"/>
        <family val="2"/>
        <charset val="238"/>
      </rPr>
      <t xml:space="preserve">SCANNER, </t>
    </r>
    <r>
      <rPr>
        <sz val="8"/>
        <rFont val="Arial"/>
        <family val="2"/>
        <charset val="238"/>
      </rPr>
      <t xml:space="preserve">Canon, LIDE 210</t>
    </r>
  </si>
  <si>
    <r>
      <rPr>
        <sz val="10"/>
        <rFont val="Arial"/>
        <family val="2"/>
        <charset val="238"/>
      </rPr>
      <t xml:space="preserve">PEĆ PLINSKA za gradski plin, </t>
    </r>
    <r>
      <rPr>
        <sz val="8"/>
        <rFont val="Arial"/>
        <family val="2"/>
        <charset val="238"/>
      </rPr>
      <t xml:space="preserve">mod. Plamen</t>
    </r>
  </si>
  <si>
    <r>
      <rPr>
        <sz val="10"/>
        <rFont val="Arial"/>
        <family val="2"/>
        <charset val="238"/>
      </rPr>
      <t xml:space="preserve">CONVERTER PLANET, </t>
    </r>
    <r>
      <rPr>
        <sz val="8"/>
        <rFont val="Arial"/>
        <family val="2"/>
        <charset val="238"/>
      </rPr>
      <t xml:space="preserve">GT 702S</t>
    </r>
  </si>
  <si>
    <r>
      <rPr>
        <sz val="10"/>
        <rFont val="Arial"/>
        <family val="2"/>
        <charset val="238"/>
      </rPr>
      <t xml:space="preserve">SWITCH CISCO, </t>
    </r>
    <r>
      <rPr>
        <sz val="8"/>
        <rFont val="Arial"/>
        <family val="2"/>
        <charset val="238"/>
      </rPr>
      <t xml:space="preserve">24x10/100/1000</t>
    </r>
  </si>
  <si>
    <r>
      <rPr>
        <sz val="10"/>
        <rFont val="Arial"/>
        <family val="2"/>
        <charset val="238"/>
      </rPr>
      <t xml:space="preserve">CONVERTER PLANET, </t>
    </r>
    <r>
      <rPr>
        <sz val="8"/>
        <rFont val="Arial"/>
        <family val="2"/>
        <charset val="238"/>
      </rPr>
      <t xml:space="preserve">GT702MM SC/RJ45</t>
    </r>
  </si>
  <si>
    <r>
      <rPr>
        <sz val="10"/>
        <rFont val="Arial"/>
        <family val="2"/>
        <charset val="238"/>
      </rPr>
      <t xml:space="preserve">SWITCH HP PROCURVE, </t>
    </r>
    <r>
      <rPr>
        <sz val="8"/>
        <rFont val="Arial"/>
        <family val="2"/>
        <charset val="238"/>
      </rPr>
      <t xml:space="preserve">1810G-24</t>
    </r>
  </si>
  <si>
    <r>
      <rPr>
        <sz val="10"/>
        <rFont val="Arial"/>
        <family val="2"/>
        <charset val="238"/>
      </rPr>
      <t xml:space="preserve">CONVERTER, </t>
    </r>
    <r>
      <rPr>
        <sz val="8"/>
        <rFont val="Arial"/>
        <family val="2"/>
        <charset val="238"/>
      </rPr>
      <t xml:space="preserve">DN-82020-1 SC/RJ45 MM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</si>
  <si>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TFT 21"</t>
    </r>
  </si>
  <si>
    <r>
      <rPr>
        <sz val="10"/>
        <rFont val="Arial"/>
        <family val="2"/>
        <charset val="238"/>
      </rPr>
      <t xml:space="preserve">NOTEBOOK, </t>
    </r>
    <r>
      <rPr>
        <sz val="8"/>
        <rFont val="Arial"/>
        <family val="2"/>
        <charset val="238"/>
      </rPr>
      <t xml:space="preserve">Lenovo, EDGE 531 N418YSC</t>
    </r>
  </si>
  <si>
    <r>
      <rPr>
        <sz val="10"/>
        <rFont val="Arial"/>
        <family val="2"/>
        <charset val="238"/>
      </rPr>
      <t xml:space="preserve">PORT REPLIKATOR LENOVO </t>
    </r>
    <r>
      <rPr>
        <sz val="9"/>
        <rFont val="Arial"/>
        <family val="2"/>
        <charset val="238"/>
      </rPr>
      <t xml:space="preserve">za Notebook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</si>
  <si>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23,6'' LS24D391HL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</si>
  <si>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LCD 23,6''</t>
    </r>
  </si>
  <si>
    <r>
      <rPr>
        <sz val="10"/>
        <rFont val="Arial"/>
        <family val="2"/>
        <charset val="238"/>
      </rPr>
      <t xml:space="preserve">MONITOR 24'', </t>
    </r>
    <r>
      <rPr>
        <sz val="8"/>
        <rFont val="Arial"/>
        <family val="2"/>
        <charset val="238"/>
      </rPr>
      <t xml:space="preserve">LED SM ZZAXH4ZGC08408</t>
    </r>
  </si>
  <si>
    <r>
      <rPr>
        <sz val="10"/>
        <rFont val="Arial"/>
        <family val="2"/>
        <charset val="238"/>
      </rPr>
      <t xml:space="preserve">PRIJENOSNO RAČUNALO, </t>
    </r>
    <r>
      <rPr>
        <sz val="8"/>
        <rFont val="Arial"/>
        <family val="2"/>
        <charset val="238"/>
      </rPr>
      <t xml:space="preserve">HP, 5CG5170426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</si>
  <si>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 ELITE CZC318698X</t>
    </r>
  </si>
  <si>
    <t xml:space="preserve">F101</t>
  </si>
  <si>
    <r>
      <rPr>
        <sz val="10"/>
        <rFont val="Arial"/>
        <family val="2"/>
        <charset val="238"/>
      </rPr>
      <t xml:space="preserve">TELEFAX, </t>
    </r>
    <r>
      <rPr>
        <sz val="8"/>
        <rFont val="Arial"/>
        <family val="2"/>
        <charset val="238"/>
      </rPr>
      <t xml:space="preserve">UF-305</t>
    </r>
  </si>
  <si>
    <r>
      <rPr>
        <sz val="10"/>
        <rFont val="Arial"/>
        <family val="2"/>
        <charset val="238"/>
      </rPr>
      <t xml:space="preserve">NOTEBOOK, </t>
    </r>
    <r>
      <rPr>
        <sz val="8"/>
        <rFont val="Arial"/>
        <family val="2"/>
        <charset val="238"/>
      </rPr>
      <t xml:space="preserve">HP, NX9110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</si>
  <si>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SM 795DF</t>
    </r>
  </si>
  <si>
    <r>
      <rPr>
        <sz val="10"/>
        <rFont val="Arial"/>
        <family val="2"/>
        <charset val="238"/>
      </rPr>
      <t xml:space="preserve">NOTEBOOK, </t>
    </r>
    <r>
      <rPr>
        <sz val="8"/>
        <rFont val="Arial"/>
        <family val="2"/>
        <charset val="238"/>
      </rPr>
      <t xml:space="preserve">NX8220 PG802EA</t>
    </r>
  </si>
  <si>
    <t xml:space="preserve">STALAŽA, drvena</t>
  </si>
  <si>
    <t xml:space="preserve">VJEŠALICA, drvena</t>
  </si>
  <si>
    <t xml:space="preserve">ORMAR, drveni, 2-krilni</t>
  </si>
  <si>
    <t xml:space="preserve">VJEŠALICA, željezna</t>
  </si>
  <si>
    <t xml:space="preserve">ORMAR ZA NACRTE, limeni</t>
  </si>
  <si>
    <r>
      <rPr>
        <sz val="10"/>
        <rFont val="Arial"/>
        <family val="2"/>
        <charset val="238"/>
      </rPr>
      <t xml:space="preserve">PEĆ PLINSKA, </t>
    </r>
    <r>
      <rPr>
        <sz val="8"/>
        <rFont val="Arial"/>
        <family val="2"/>
        <charset val="238"/>
      </rPr>
      <t xml:space="preserve">VIKTORIJA</t>
    </r>
  </si>
  <si>
    <r>
      <rPr>
        <sz val="10"/>
        <rFont val="Arial"/>
        <family val="2"/>
        <charset val="238"/>
      </rPr>
      <t xml:space="preserve">STOLICA DAKTILO, </t>
    </r>
    <r>
      <rPr>
        <sz val="8"/>
        <rFont val="Arial"/>
        <family val="2"/>
        <charset val="238"/>
      </rPr>
      <t xml:space="preserve">Metro</t>
    </r>
  </si>
  <si>
    <r>
      <rPr>
        <sz val="10"/>
        <rFont val="Arial"/>
        <family val="2"/>
        <charset val="238"/>
      </rPr>
      <t xml:space="preserve">PLOČA ZIDNA ŠKOLSKA</t>
    </r>
    <r>
      <rPr>
        <sz val="8"/>
        <rFont val="Arial"/>
        <family val="2"/>
        <charset val="238"/>
      </rPr>
      <t xml:space="preserve">, dim. 90x120</t>
    </r>
  </si>
  <si>
    <r>
      <rPr>
        <sz val="10"/>
        <rFont val="Arial"/>
        <family val="2"/>
        <charset val="238"/>
      </rPr>
      <t xml:space="preserve">TELEFON MOBITEL, </t>
    </r>
    <r>
      <rPr>
        <sz val="8"/>
        <rFont val="Arial"/>
        <family val="2"/>
        <charset val="238"/>
      </rPr>
      <t xml:space="preserve">GSM SIEMENS S45I</t>
    </r>
  </si>
  <si>
    <t xml:space="preserve">rashod</t>
  </si>
  <si>
    <r>
      <rPr>
        <sz val="10"/>
        <rFont val="Arial"/>
        <family val="2"/>
        <charset val="238"/>
      </rPr>
      <t xml:space="preserve">TELEFON,</t>
    </r>
    <r>
      <rPr>
        <sz val="8"/>
        <rFont val="Arial"/>
        <family val="2"/>
        <charset val="238"/>
      </rPr>
      <t xml:space="preserve"> Ericsson DBC</t>
    </r>
  </si>
  <si>
    <r>
      <rPr>
        <sz val="10"/>
        <rFont val="Arial"/>
        <family val="2"/>
        <charset val="238"/>
      </rPr>
      <t xml:space="preserve">GRIJALICA ELEKTRIČNA</t>
    </r>
    <r>
      <rPr>
        <sz val="8"/>
        <rFont val="Arial"/>
        <family val="2"/>
        <charset val="238"/>
      </rPr>
      <t xml:space="preserve">, PALMA 1900 W</t>
    </r>
  </si>
  <si>
    <r>
      <rPr>
        <sz val="10"/>
        <rFont val="Arial"/>
        <family val="2"/>
        <charset val="238"/>
      </rPr>
      <t xml:space="preserve">CD/DVD RECORDER</t>
    </r>
    <r>
      <rPr>
        <sz val="8"/>
        <rFont val="Arial"/>
        <family val="2"/>
        <charset val="238"/>
      </rPr>
      <t xml:space="preserve">, Samsung</t>
    </r>
  </si>
  <si>
    <r>
      <rPr>
        <sz val="10"/>
        <rFont val="Arial"/>
        <family val="2"/>
        <charset val="238"/>
      </rPr>
      <t xml:space="preserve">PC, kućište</t>
    </r>
    <r>
      <rPr>
        <sz val="8"/>
        <rFont val="Arial"/>
        <family val="2"/>
        <charset val="238"/>
      </rPr>
      <t xml:space="preserve">, HP, DC5760 MTAX-42</t>
    </r>
  </si>
  <si>
    <r>
      <rPr>
        <sz val="10"/>
        <rFont val="Arial"/>
        <family val="2"/>
        <charset val="238"/>
      </rPr>
      <t xml:space="preserve">USB FLASH DRIVE, </t>
    </r>
    <r>
      <rPr>
        <sz val="8"/>
        <rFont val="Arial"/>
        <family val="2"/>
        <charset val="238"/>
      </rPr>
      <t xml:space="preserve">8 GB 2.0. CORSAIR</t>
    </r>
  </si>
  <si>
    <r>
      <rPr>
        <sz val="10"/>
        <rFont val="Arial"/>
        <family val="2"/>
        <charset val="238"/>
      </rPr>
      <t xml:space="preserve">SCANNER, </t>
    </r>
    <r>
      <rPr>
        <sz val="8"/>
        <rFont val="Arial"/>
        <family val="2"/>
        <charset val="238"/>
      </rPr>
      <t xml:space="preserve">Canon, LIDE 75</t>
    </r>
  </si>
  <si>
    <t xml:space="preserve">MONITOR TFT 22"</t>
  </si>
  <si>
    <t xml:space="preserve">VISUAL STUDIO 2008 PROFESIONAL</t>
  </si>
  <si>
    <t xml:space="preserve">INTEL ENTRY STORAGE SYSTEM SS4200E</t>
  </si>
  <si>
    <t xml:space="preserve">QUICKCAM PRO 9000 LOGITECH</t>
  </si>
  <si>
    <t xml:space="preserve">ADOBE ACROBAT STANDARD 9.0 IE WIN</t>
  </si>
  <si>
    <r>
      <rPr>
        <sz val="10"/>
        <rFont val="Arial"/>
        <family val="2"/>
        <charset val="238"/>
      </rPr>
      <t xml:space="preserve">PRINT SERVER DLNK, </t>
    </r>
    <r>
      <rPr>
        <sz val="8"/>
        <rFont val="Arial"/>
        <family val="2"/>
        <charset val="238"/>
      </rPr>
      <t xml:space="preserve">DPR-1020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</si>
  <si>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23,6'' LS24D</t>
    </r>
  </si>
  <si>
    <r>
      <rPr>
        <sz val="10"/>
        <rFont val="Arial"/>
        <family val="2"/>
        <charset val="238"/>
      </rPr>
      <t xml:space="preserve">PISAČ, </t>
    </r>
    <r>
      <rPr>
        <sz val="8"/>
        <rFont val="Arial"/>
        <family val="2"/>
        <charset val="238"/>
      </rPr>
      <t xml:space="preserve">Epson, AL-M200DN A4 C11CC70011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</si>
  <si>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PRODESK L9T43EAB</t>
    </r>
  </si>
  <si>
    <t xml:space="preserve">DEVELOPER, PL/A39SQL</t>
  </si>
  <si>
    <t xml:space="preserve">F120</t>
  </si>
  <si>
    <t xml:space="preserve">ORMAR REGISTAR 'ROLO'</t>
  </si>
  <si>
    <r>
      <rPr>
        <sz val="10"/>
        <rFont val="Arial"/>
        <family val="2"/>
        <charset val="238"/>
      </rPr>
      <t xml:space="preserve">SCANNER, </t>
    </r>
    <r>
      <rPr>
        <sz val="8"/>
        <rFont val="Arial"/>
        <family val="2"/>
        <charset val="238"/>
      </rPr>
      <t xml:space="preserve">Canon, LIDE 70</t>
    </r>
  </si>
  <si>
    <r>
      <rPr>
        <sz val="10"/>
        <rFont val="Arial"/>
        <family val="2"/>
        <charset val="238"/>
      </rPr>
      <t xml:space="preserve">PLINSKA PEĆ, </t>
    </r>
    <r>
      <rPr>
        <sz val="8"/>
        <rFont val="Arial"/>
        <family val="2"/>
        <charset val="238"/>
      </rPr>
      <t xml:space="preserve">Victoria, 8 kW</t>
    </r>
  </si>
  <si>
    <t xml:space="preserve">MONITOR LCD 22''</t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</si>
  <si>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HP, COMPAQ 500B MT 2GB 320GB</t>
    </r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</si>
  <si>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HP, COMPAQ 6000 PRO + MICROSOFT</t>
    </r>
  </si>
  <si>
    <t xml:space="preserve">F160</t>
  </si>
  <si>
    <t xml:space="preserve">TV STOL</t>
  </si>
  <si>
    <t xml:space="preserve">MONITOR, Samsung, SM 740N</t>
  </si>
  <si>
    <t xml:space="preserve">PC HP PRO 3120 BUSINESS</t>
  </si>
  <si>
    <t xml:space="preserve">F180</t>
  </si>
  <si>
    <r>
      <rPr>
        <sz val="10"/>
        <rFont val="Arial"/>
        <family val="2"/>
        <charset val="238"/>
      </rPr>
      <t xml:space="preserve">PC, MONITOR, </t>
    </r>
    <r>
      <rPr>
        <sz val="8"/>
        <rFont val="Arial"/>
        <family val="2"/>
        <charset val="238"/>
      </rPr>
      <t xml:space="preserve">COLOR 15'' 449XA</t>
    </r>
  </si>
  <si>
    <r>
      <rPr>
        <sz val="10"/>
        <rFont val="Arial"/>
        <family val="2"/>
        <charset val="238"/>
      </rPr>
      <t xml:space="preserve">FOTOAPARAT, digitalni, </t>
    </r>
    <r>
      <rPr>
        <sz val="8"/>
        <rFont val="Arial"/>
        <family val="2"/>
        <charset val="238"/>
      </rPr>
      <t xml:space="preserve">C-829L Olympus</t>
    </r>
  </si>
  <si>
    <t xml:space="preserve">ORMAR, kombinirani</t>
  </si>
  <si>
    <t xml:space="preserve">APARAT za ultrazvučno ispitivanje</t>
  </si>
  <si>
    <t xml:space="preserve">LAMPA RUČNA UV LABINO</t>
  </si>
  <si>
    <t xml:space="preserve">SCANNER UMAX ASTRA 4500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</si>
  <si>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DeskJet, 5550</t>
    </r>
  </si>
  <si>
    <t xml:space="preserve">APARAT za ultrazv. ispitiv. poroznosti materijala</t>
  </si>
  <si>
    <t xml:space="preserve">MONITOR, Samsung 17''</t>
  </si>
  <si>
    <t xml:space="preserve">PC, DC5100 CEL 330</t>
  </si>
  <si>
    <r>
      <rPr>
        <sz val="10"/>
        <rFont val="Arial"/>
        <family val="2"/>
        <charset val="238"/>
      </rPr>
      <t xml:space="preserve">FOTOAPARAT, digitalni, </t>
    </r>
    <r>
      <rPr>
        <sz val="8"/>
        <rFont val="Arial"/>
        <family val="2"/>
        <charset val="238"/>
      </rPr>
      <t xml:space="preserve">Olympus</t>
    </r>
  </si>
  <si>
    <t xml:space="preserve">KADA METALNA TANKVANA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</si>
  <si>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SM 795DF</t>
    </r>
  </si>
  <si>
    <r>
      <rPr>
        <sz val="10"/>
        <rFont val="Arial"/>
        <family val="2"/>
        <charset val="238"/>
      </rPr>
      <t xml:space="preserve">TELEFAX, </t>
    </r>
    <r>
      <rPr>
        <sz val="8"/>
        <rFont val="Arial"/>
        <family val="2"/>
        <charset val="238"/>
      </rPr>
      <t xml:space="preserve">Panasonic, KXT 2375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</si>
  <si>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LEXMARK E120N</t>
    </r>
  </si>
  <si>
    <r>
      <rPr>
        <sz val="10"/>
        <rFont val="Arial"/>
        <family val="2"/>
        <charset val="238"/>
      </rPr>
      <t xml:space="preserve">ELEKTROMAGNET, </t>
    </r>
    <r>
      <rPr>
        <sz val="8"/>
        <rFont val="Arial"/>
        <family val="2"/>
        <charset val="238"/>
      </rPr>
      <t xml:space="preserve">TWM 230A S IZM. PREK</t>
    </r>
  </si>
  <si>
    <r>
      <rPr>
        <sz val="10"/>
        <rFont val="Arial"/>
        <family val="2"/>
        <charset val="238"/>
      </rPr>
      <t xml:space="preserve">TELEFAX, </t>
    </r>
    <r>
      <rPr>
        <sz val="8"/>
        <rFont val="Arial"/>
        <family val="2"/>
        <charset val="238"/>
      </rPr>
      <t xml:space="preserve">Canon, JX 200</t>
    </r>
  </si>
  <si>
    <r>
      <rPr>
        <sz val="10"/>
        <rFont val="Arial"/>
        <family val="2"/>
        <charset val="238"/>
      </rPr>
      <t xml:space="preserve">STOL, radni, </t>
    </r>
    <r>
      <rPr>
        <sz val="8"/>
        <rFont val="Arial"/>
        <family val="2"/>
        <charset val="238"/>
      </rPr>
      <t xml:space="preserve">120x80x72 G 302 CRO-TREND</t>
    </r>
  </si>
  <si>
    <t xml:space="preserve">STOL, radni, 140x80x72  CRO-TREND</t>
  </si>
  <si>
    <t xml:space="preserve">KAZETA POKR. 42x57x58 G321 TREND</t>
  </si>
  <si>
    <t xml:space="preserve">ULTRAZVUČNI ETALON V2</t>
  </si>
  <si>
    <t xml:space="preserve">PH-METAR</t>
  </si>
  <si>
    <t xml:space="preserve">MJERAČ debljine boje</t>
  </si>
  <si>
    <r>
      <rPr>
        <sz val="10"/>
        <rFont val="Arial"/>
        <family val="2"/>
        <charset val="238"/>
      </rPr>
      <t xml:space="preserve">MJERAČ DEBLJINE - DEMETAR </t>
    </r>
    <r>
      <rPr>
        <sz val="8"/>
        <rFont val="Arial"/>
        <family val="2"/>
        <charset val="238"/>
      </rPr>
      <t xml:space="preserve">(komplet)</t>
    </r>
  </si>
  <si>
    <t xml:space="preserve">ULTRAZVUČNI APARAT s priborom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</si>
  <si>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HOKKAIDO</t>
    </r>
  </si>
  <si>
    <r>
      <rPr>
        <sz val="10"/>
        <rFont val="Arial"/>
        <family val="2"/>
        <charset val="238"/>
      </rPr>
      <t xml:space="preserve">DIGITALNI FOTOKOPIRNI UREĐAJ, </t>
    </r>
    <r>
      <rPr>
        <sz val="8"/>
        <rFont val="Arial"/>
        <family val="2"/>
        <charset val="238"/>
      </rPr>
      <t xml:space="preserve">Xerox</t>
    </r>
  </si>
  <si>
    <r>
      <rPr>
        <sz val="10"/>
        <rFont val="Arial"/>
        <family val="2"/>
        <charset val="238"/>
      </rPr>
      <t xml:space="preserve">ULTRAZVUČNI UREĐAJ, </t>
    </r>
    <r>
      <rPr>
        <sz val="8"/>
        <rFont val="Arial"/>
        <family val="2"/>
        <charset val="238"/>
      </rPr>
      <t xml:space="preserve">PHASOR XS 16/64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</si>
  <si>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TOSHIBA RAS-13 S2AH-ES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</si>
  <si>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TOSHIBA RAS-18 S2AH-ES</t>
    </r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</si>
  <si>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HP, 3500</t>
    </r>
  </si>
  <si>
    <r>
      <rPr>
        <sz val="10"/>
        <rFont val="Arial"/>
        <family val="2"/>
        <charset val="238"/>
      </rPr>
      <t xml:space="preserve">Mini deskop, </t>
    </r>
    <r>
      <rPr>
        <sz val="9"/>
        <rFont val="Arial"/>
        <family val="2"/>
        <charset val="238"/>
      </rPr>
      <t xml:space="preserve">DELL WYSE P25</t>
    </r>
  </si>
  <si>
    <t xml:space="preserve">F201</t>
  </si>
  <si>
    <t xml:space="preserve">TELEFON Ericsson DBC</t>
  </si>
  <si>
    <t xml:space="preserve">NOTEBOOK HP</t>
  </si>
  <si>
    <t xml:space="preserve">F210</t>
  </si>
  <si>
    <t xml:space="preserve">STALAŽA ŽELJEZNA</t>
  </si>
  <si>
    <r>
      <rPr>
        <sz val="10"/>
        <rFont val="Arial"/>
        <family val="2"/>
        <charset val="238"/>
      </rPr>
      <t xml:space="preserve">NOTEBOOK, </t>
    </r>
    <r>
      <rPr>
        <sz val="8"/>
        <rFont val="Arial"/>
        <family val="2"/>
        <charset val="238"/>
      </rPr>
      <t xml:space="preserve">HP, COMPAQ NX9000</t>
    </r>
  </si>
  <si>
    <r>
      <rPr>
        <sz val="10"/>
        <rFont val="Arial"/>
        <family val="2"/>
        <charset val="238"/>
      </rPr>
      <t xml:space="preserve">OPTIČKI ORMAR </t>
    </r>
    <r>
      <rPr>
        <sz val="8"/>
        <rFont val="Arial"/>
        <family val="2"/>
        <charset val="238"/>
      </rPr>
      <t xml:space="preserve">(kompjutorska mreža)</t>
    </r>
  </si>
  <si>
    <r>
      <rPr>
        <sz val="10"/>
        <rFont val="Arial"/>
        <family val="2"/>
        <charset val="238"/>
      </rPr>
      <t xml:space="preserve">FOTOAPARAT DIGITALNI, </t>
    </r>
    <r>
      <rPr>
        <sz val="8"/>
        <rFont val="Arial"/>
        <family val="2"/>
        <charset val="238"/>
      </rPr>
      <t xml:space="preserve">SONY W 12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</si>
  <si>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2600N COLOR</t>
    </r>
  </si>
  <si>
    <t xml:space="preserve">STALAŽA, željezna</t>
  </si>
  <si>
    <t xml:space="preserve">PLOČA IVERAL HRAST 18 mm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</si>
  <si>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SM 205BW</t>
    </r>
  </si>
  <si>
    <r>
      <rPr>
        <sz val="10"/>
        <rFont val="Arial"/>
        <family val="2"/>
        <charset val="238"/>
      </rPr>
      <t xml:space="preserve">NOTEBOOK, </t>
    </r>
    <r>
      <rPr>
        <sz val="8"/>
        <rFont val="Arial"/>
        <family val="2"/>
        <charset val="238"/>
      </rPr>
      <t xml:space="preserve">HP, PROBOOK 4720S</t>
    </r>
  </si>
  <si>
    <t xml:space="preserve">INSTRUMENET CONTROLLER USB</t>
  </si>
  <si>
    <t xml:space="preserve">RAČUNALO PRO 3400 MT</t>
  </si>
  <si>
    <t xml:space="preserve">GRAFIČKA RADNA STANICA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</si>
  <si>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24'', 0325H4MDB11725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</si>
  <si>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Z420 C2C44319JY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</si>
  <si>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0359H4MFA01934N</t>
    </r>
  </si>
  <si>
    <t xml:space="preserve">F220</t>
  </si>
  <si>
    <t xml:space="preserve">UREĐAJ za obrezivanje nacrta, TRIM 1</t>
  </si>
  <si>
    <t xml:space="preserve">SERVER za umrežavanje printera</t>
  </si>
  <si>
    <t xml:space="preserve">STOL, crtaći</t>
  </si>
  <si>
    <t xml:space="preserve">BAZEN za kartoteku</t>
  </si>
  <si>
    <t xml:space="preserve">ORMAR, limeni za nacrte</t>
  </si>
  <si>
    <t xml:space="preserve">PC, kućište, PENTIUM 4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</si>
  <si>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8150N</t>
    </r>
  </si>
  <si>
    <t xml:space="preserve">MONITOR 22'' YAMA 514</t>
  </si>
  <si>
    <t xml:space="preserve">PC, kućište</t>
  </si>
  <si>
    <t xml:space="preserve">MUSTEK SCAN EXPRESS A3 (scanner)</t>
  </si>
  <si>
    <t xml:space="preserve">MONITOR S 913V 19''</t>
  </si>
  <si>
    <t xml:space="preserve">MONITOR LCD 19''</t>
  </si>
  <si>
    <t xml:space="preserve">PRINTER LaserJet 2430 DTN</t>
  </si>
  <si>
    <t xml:space="preserve">MONITOR, Samsung, SM 713MB</t>
  </si>
  <si>
    <t xml:space="preserve">ORMAR za nacrte, limeni</t>
  </si>
  <si>
    <t xml:space="preserve">STOL za terminal</t>
  </si>
  <si>
    <t xml:space="preserve">APARAT za kavu, MAGIC DE LUXE</t>
  </si>
  <si>
    <t xml:space="preserve">ORMARIĆ, 3-krilni</t>
  </si>
  <si>
    <t xml:space="preserve">STOLAC ELIPTIKA  CRNO/RENNA6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</si>
  <si>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19'' SM 931BF</t>
    </r>
  </si>
  <si>
    <r>
      <rPr>
        <sz val="10"/>
        <rFont val="Arial"/>
        <family val="2"/>
        <charset val="238"/>
      </rPr>
      <t xml:space="preserve">MIKROVALNA PEĆ, </t>
    </r>
    <r>
      <rPr>
        <sz val="8"/>
        <rFont val="Arial"/>
        <family val="2"/>
        <charset val="238"/>
      </rPr>
      <t xml:space="preserve">WHIRPOOL AWM 20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</si>
  <si>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19"</t>
    </r>
  </si>
  <si>
    <t xml:space="preserve">HP JETDIRECT 170X PRINT SERVER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</si>
  <si>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SM 203B</t>
    </r>
  </si>
  <si>
    <t xml:space="preserve">PC, RAČUNALO</t>
  </si>
  <si>
    <r>
      <rPr>
        <sz val="10"/>
        <rFont val="Arial"/>
        <family val="2"/>
        <charset val="238"/>
      </rPr>
      <t xml:space="preserve">FOTOKOPIRNI STROJ, </t>
    </r>
    <r>
      <rPr>
        <sz val="8"/>
        <rFont val="Arial"/>
        <family val="2"/>
        <charset val="238"/>
      </rPr>
      <t xml:space="preserve">Canon, IR 2025</t>
    </r>
  </si>
  <si>
    <t xml:space="preserve">HP GRAFIČKA RADNA STANICA</t>
  </si>
  <si>
    <t xml:space="preserve">RADNA STANICA Z400</t>
  </si>
  <si>
    <t xml:space="preserve">KEY TO STEEL CD EDITION 2010</t>
  </si>
  <si>
    <r>
      <rPr>
        <sz val="10"/>
        <rFont val="Arial"/>
        <family val="2"/>
        <charset val="238"/>
      </rPr>
      <t xml:space="preserve">RADNA STANICA, </t>
    </r>
    <r>
      <rPr>
        <sz val="8"/>
        <rFont val="Arial"/>
        <family val="2"/>
        <charset val="238"/>
      </rPr>
      <t xml:space="preserve">HP, Z400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</si>
  <si>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HP, LCD 23''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</si>
  <si>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LG, 22'' WIDE LED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</si>
  <si>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DESIGNJET CN1C16H015</t>
    </r>
  </si>
  <si>
    <r>
      <rPr>
        <sz val="10"/>
        <rFont val="Arial"/>
        <family val="2"/>
        <charset val="238"/>
      </rPr>
      <t xml:space="preserve">MONITOR,</t>
    </r>
    <r>
      <rPr>
        <sz val="8"/>
        <rFont val="Arial"/>
        <family val="2"/>
        <charset val="238"/>
      </rPr>
      <t xml:space="preserve"> Samsung 24'', 0325H4MDB14534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</si>
  <si>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24'', 0318H4MF104149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</si>
  <si>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LCD 24''</t>
    </r>
  </si>
  <si>
    <r>
      <rPr>
        <sz val="10"/>
        <rFont val="Arial"/>
        <family val="2"/>
        <charset val="238"/>
      </rPr>
      <t xml:space="preserve">GRAF STANICA, </t>
    </r>
    <r>
      <rPr>
        <sz val="8"/>
        <rFont val="Arial"/>
        <family val="2"/>
        <charset val="238"/>
      </rPr>
      <t xml:space="preserve">DELL T3610</t>
    </r>
  </si>
  <si>
    <t xml:space="preserve">F301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</si>
  <si>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2300 DN</t>
    </r>
  </si>
  <si>
    <t xml:space="preserve">STOL, pisaći      </t>
  </si>
  <si>
    <t xml:space="preserve">TELEFAX, Panasonic, 1600</t>
  </si>
  <si>
    <t xml:space="preserve">STOL, konferencijski</t>
  </si>
  <si>
    <t xml:space="preserve">STOL, kut i spoj</t>
  </si>
  <si>
    <t xml:space="preserve">ORMAR, niski, otvoreni</t>
  </si>
  <si>
    <t xml:space="preserve">ORMAR, niski, otvoreni i završetak ormara</t>
  </si>
  <si>
    <t xml:space="preserve">TELEFON, Panasonic, KXT 2375</t>
  </si>
  <si>
    <t xml:space="preserve">TELEFON DIG. SISTEMSKI DBC sa panelom</t>
  </si>
  <si>
    <t xml:space="preserve">DIGITALNI FOTOKOPIRNI PRINTER, Xerox</t>
  </si>
  <si>
    <t xml:space="preserve">PRINTER, Samsung ML-1665</t>
  </si>
  <si>
    <t xml:space="preserve">PC, HP COMPAQ 6000 PRO MT</t>
  </si>
  <si>
    <r>
      <rPr>
        <sz val="10"/>
        <rFont val="Arial"/>
        <family val="2"/>
        <charset val="238"/>
      </rPr>
      <t xml:space="preserve">PRINT SERVER, </t>
    </r>
    <r>
      <rPr>
        <sz val="8"/>
        <rFont val="Arial"/>
        <family val="2"/>
        <charset val="238"/>
      </rPr>
      <t xml:space="preserve">DLINK USB DPR-1020</t>
    </r>
  </si>
  <si>
    <r>
      <rPr>
        <sz val="10"/>
        <rFont val="Arial"/>
        <family val="2"/>
        <charset val="238"/>
      </rPr>
      <t xml:space="preserve">DOCKING STATION, </t>
    </r>
    <r>
      <rPr>
        <sz val="8"/>
        <rFont val="Arial"/>
        <family val="2"/>
        <charset val="238"/>
      </rPr>
      <t xml:space="preserve">HP, 90W-BASIC</t>
    </r>
  </si>
  <si>
    <r>
      <rPr>
        <sz val="10"/>
        <rFont val="Arial"/>
        <family val="2"/>
        <charset val="238"/>
      </rPr>
      <t xml:space="preserve">PRIJENOSNO RAČUNALO, </t>
    </r>
    <r>
      <rPr>
        <sz val="8"/>
        <rFont val="Arial"/>
        <family val="2"/>
        <charset val="238"/>
      </rPr>
      <t xml:space="preserve">PROBOOK 6560B</t>
    </r>
  </si>
  <si>
    <t xml:space="preserve">RAČUNALO HP 3500 MT</t>
  </si>
  <si>
    <t xml:space="preserve">F401</t>
  </si>
  <si>
    <r>
      <rPr>
        <sz val="10"/>
        <rFont val="Arial"/>
        <family val="2"/>
        <charset val="238"/>
      </rPr>
      <t xml:space="preserve">STROJ za rezanje metala - </t>
    </r>
    <r>
      <rPr>
        <sz val="8"/>
        <rFont val="Arial"/>
        <family val="2"/>
        <charset val="238"/>
      </rPr>
      <t xml:space="preserve">MAJA Super</t>
    </r>
  </si>
  <si>
    <r>
      <rPr>
        <sz val="10"/>
        <rFont val="Arial"/>
        <family val="2"/>
        <charset val="238"/>
      </rPr>
      <t xml:space="preserve">PEĆ PLINSKA, </t>
    </r>
    <r>
      <rPr>
        <sz val="8"/>
        <rFont val="Arial"/>
        <family val="2"/>
        <charset val="238"/>
      </rPr>
      <t xml:space="preserve">MAJA 12</t>
    </r>
  </si>
  <si>
    <t xml:space="preserve">PC, kućište, CEL. 2400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</si>
  <si>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SM 763 MB</t>
    </r>
  </si>
  <si>
    <r>
      <rPr>
        <sz val="10"/>
        <rFont val="Arial"/>
        <family val="2"/>
        <charset val="238"/>
      </rPr>
      <t xml:space="preserve">PISAČ, </t>
    </r>
    <r>
      <rPr>
        <sz val="8"/>
        <rFont val="Arial"/>
        <family val="2"/>
        <charset val="238"/>
      </rPr>
      <t xml:space="preserve">HP, LaserJet 2300 DTN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</si>
  <si>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</t>
    </r>
  </si>
  <si>
    <t xml:space="preserve">PC, kućište, DTK CEL253</t>
  </si>
  <si>
    <t xml:space="preserve">PC, DTK CEL. D 330-2.66 GHz -kućište</t>
  </si>
  <si>
    <t xml:space="preserve">TELEFAX, Canon, L-220</t>
  </si>
  <si>
    <t xml:space="preserve">PRIBIJAČ EL.-KLAMERICA BOSCH PIK 14</t>
  </si>
  <si>
    <t xml:space="preserve">SCANNER, Canon, LIDE 25</t>
  </si>
  <si>
    <t xml:space="preserve">STOLIĆ, drveni za telefon</t>
  </si>
  <si>
    <t xml:space="preserve">STOL, konferencijski, ovalni (gornja</t>
  </si>
  <si>
    <t xml:space="preserve">STOL, pisaći sa kutnom pločom</t>
  </si>
  <si>
    <t xml:space="preserve">PEĆ TERMO 3 kW WS 2530</t>
  </si>
  <si>
    <t xml:space="preserve">HP, JETDIRECT 170X PRINT SERVER</t>
  </si>
  <si>
    <t xml:space="preserve">APARAT za kavu, BVM333</t>
  </si>
  <si>
    <t xml:space="preserve">MONITOR TFT 20"</t>
  </si>
  <si>
    <t xml:space="preserve">SWITCH 1X10/100/1000 + 7x1900</t>
  </si>
  <si>
    <t xml:space="preserve">FOTOKOPIRNI STROJ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</si>
  <si>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22'', B2230H</t>
    </r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</si>
  <si>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HP, PRO 3120 MT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</si>
  <si>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HP, 2311X 23'' LED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</si>
  <si>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 24'', 0361H4MG602180Z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</si>
  <si>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Z400 CZC0137MTL</t>
    </r>
  </si>
  <si>
    <t xml:space="preserve">F402</t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</si>
  <si>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5T/15m</t>
    </r>
  </si>
  <si>
    <t xml:space="preserve">DIZALICA MOSNA EL., nos. 3T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</si>
  <si>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tip. DMD 3T/15,5m </t>
    </r>
    <r>
      <rPr>
        <sz val="8"/>
        <rFont val="Arial"/>
        <family val="2"/>
        <charset val="238"/>
      </rPr>
      <t xml:space="preserve">(2x)</t>
    </r>
  </si>
  <si>
    <t xml:space="preserve">VENTILATOR VISOKOTLAČNI sa usisom</t>
  </si>
  <si>
    <t xml:space="preserve">GRABILICA MOTORNA sa hidraul. pogonom</t>
  </si>
  <si>
    <t xml:space="preserve">STROJ za čišćenje odljevaka</t>
  </si>
  <si>
    <t xml:space="preserve">PC, kućište, DTK CEL. 1.8''</t>
  </si>
  <si>
    <t xml:space="preserve">STALAŽA u skladištu 28</t>
  </si>
  <si>
    <t xml:space="preserve">KALUPNIK za kućište stalaka</t>
  </si>
  <si>
    <t xml:space="preserve">KALUPNIK za temeljnu ploču</t>
  </si>
  <si>
    <t xml:space="preserve">MJEŠALICA za beton</t>
  </si>
  <si>
    <r>
      <rPr>
        <sz val="10"/>
        <rFont val="Arial"/>
        <family val="2"/>
        <charset val="238"/>
      </rPr>
      <t xml:space="preserve">PILA, stolna, </t>
    </r>
    <r>
      <rPr>
        <sz val="8"/>
        <rFont val="Arial"/>
        <family val="2"/>
        <charset val="238"/>
      </rPr>
      <t xml:space="preserve">pr. BOSCH (za drvo i metal)</t>
    </r>
  </si>
  <si>
    <t xml:space="preserve">KRUŽNA PILA, segmentna, 910x7x100</t>
  </si>
  <si>
    <t xml:space="preserve">ELEKTROMAGNET  869     </t>
  </si>
  <si>
    <t xml:space="preserve">F601</t>
  </si>
  <si>
    <t xml:space="preserve">DESTILATOR VODE</t>
  </si>
  <si>
    <t xml:space="preserve">KALORIMETAR za plin</t>
  </si>
  <si>
    <t xml:space="preserve">VENTILATOR, centrifugalni (bez EM.)</t>
  </si>
  <si>
    <t xml:space="preserve">STOL, obični</t>
  </si>
  <si>
    <t xml:space="preserve">VENTILATOR, centrifugalni</t>
  </si>
  <si>
    <t xml:space="preserve">PEĆ MUFOLNA</t>
  </si>
  <si>
    <t xml:space="preserve">VENTILATOR STREŠNI SV-3</t>
  </si>
  <si>
    <t xml:space="preserve">VENTILATOR, centrifugalni (sa EM.)</t>
  </si>
  <si>
    <r>
      <rPr>
        <sz val="10"/>
        <rFont val="Arial"/>
        <family val="2"/>
        <charset val="238"/>
      </rPr>
      <t xml:space="preserve">STOLNA BUŠILICA, </t>
    </r>
    <r>
      <rPr>
        <sz val="8"/>
        <rFont val="Arial"/>
        <family val="2"/>
        <charset val="238"/>
      </rPr>
      <t xml:space="preserve">tip. B-2</t>
    </r>
  </si>
  <si>
    <t xml:space="preserve">STOL, radni, laboratorijski</t>
  </si>
  <si>
    <t xml:space="preserve">STOL za pisaći stroj (daktilog)</t>
  </si>
  <si>
    <t xml:space="preserve">KASA, željezna</t>
  </si>
  <si>
    <t xml:space="preserve">ORMAR, drveni, 4-krilni</t>
  </si>
  <si>
    <t xml:space="preserve">TELEFONSKI APARAT</t>
  </si>
  <si>
    <t xml:space="preserve">ORMAR, drveni, 3-krilni</t>
  </si>
  <si>
    <r>
      <rPr>
        <sz val="10"/>
        <rFont val="Arial"/>
        <family val="2"/>
        <charset val="238"/>
      </rPr>
      <t xml:space="preserve">FOTOKOPIRNI STROJ,</t>
    </r>
    <r>
      <rPr>
        <sz val="9"/>
        <rFont val="Arial"/>
        <family val="2"/>
        <charset val="238"/>
      </rPr>
      <t xml:space="preserve"> tip. COPIA 1050, m. Olivetti</t>
    </r>
  </si>
  <si>
    <r>
      <rPr>
        <sz val="10"/>
        <rFont val="Arial"/>
        <family val="2"/>
        <charset val="238"/>
      </rPr>
      <t xml:space="preserve">KRUŽNA PILA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KR 16</t>
    </r>
  </si>
  <si>
    <r>
      <rPr>
        <sz val="10"/>
        <rFont val="Arial"/>
        <family val="2"/>
        <charset val="238"/>
      </rPr>
      <t xml:space="preserve">SCANNER, </t>
    </r>
    <r>
      <rPr>
        <sz val="8"/>
        <rFont val="Arial"/>
        <family val="2"/>
        <charset val="238"/>
      </rPr>
      <t xml:space="preserve">HP, ScanJet 4300C</t>
    </r>
  </si>
  <si>
    <t xml:space="preserve">KONTEJNER za smeće, 600L</t>
  </si>
  <si>
    <t xml:space="preserve">KONTEJNER za smeće, 900L</t>
  </si>
  <si>
    <t xml:space="preserve">ACETILEN</t>
  </si>
  <si>
    <t xml:space="preserve">SCANER, HP ScanJet 3770</t>
  </si>
  <si>
    <t xml:space="preserve">STROJ ZA ISPIT. MAT. NA UDAR 356</t>
  </si>
  <si>
    <t xml:space="preserve">MIKROSKOP METALOGRAFSKI 608</t>
  </si>
  <si>
    <t xml:space="preserve">STROJ UNIVERZ. ZA KIDANJE MAT.651</t>
  </si>
  <si>
    <t xml:space="preserve">APARAT STROHLEN 668</t>
  </si>
  <si>
    <t xml:space="preserve">FOTOMETAR EL za analizu matala, 699</t>
  </si>
  <si>
    <t xml:space="preserve">VAGA AUTOMAT nos. 100 gr. 713</t>
  </si>
  <si>
    <t xml:space="preserve">VRATA, čelična, 2-krilna, 4,20x4.80 MOLO</t>
  </si>
  <si>
    <t xml:space="preserve">VJEŽALICA, željezna</t>
  </si>
  <si>
    <t xml:space="preserve">VITRINA sa staklom</t>
  </si>
  <si>
    <t xml:space="preserve">ORMARIĆ NISKI</t>
  </si>
  <si>
    <t xml:space="preserve">TELEFONSKA CENTRALA Ericsson (mini)</t>
  </si>
  <si>
    <t xml:space="preserve">STOL, daktilo dodatak</t>
  </si>
  <si>
    <t xml:space="preserve">POSTOLJE za procesor, pokretno</t>
  </si>
  <si>
    <t xml:space="preserve">ORMAR, 4-krilni i 1 otvoreno</t>
  </si>
  <si>
    <t xml:space="preserve">PC, HP COMPAQ DC5750</t>
  </si>
  <si>
    <t xml:space="preserve">PRINTER, Samsung,  ML-1665</t>
  </si>
  <si>
    <t xml:space="preserve">PEĆ, plinska, VICTORIA</t>
  </si>
  <si>
    <t xml:space="preserve">STOLAC, konferencijski, MELINDA</t>
  </si>
  <si>
    <t xml:space="preserve">TSCXPMPOE - PRISTUPNI KONTROLER</t>
  </si>
  <si>
    <t xml:space="preserve">TSRPOE - POE NAPAJANJE</t>
  </si>
  <si>
    <t xml:space="preserve">MONITOR, Samsung 24'', 0361H4MG602040H</t>
  </si>
  <si>
    <t xml:space="preserve">MEDIACONVERTER MM 10/100 SC 2 KM</t>
  </si>
  <si>
    <t xml:space="preserve">MJERILO, pomično</t>
  </si>
  <si>
    <t xml:space="preserve">PRIHVAT SK50 DIN 2080</t>
  </si>
  <si>
    <t xml:space="preserve">GLAVA za rezanje navoja</t>
  </si>
  <si>
    <t xml:space="preserve">F602</t>
  </si>
  <si>
    <t xml:space="preserve">UREZNICI STROJNI, M 33  DIN 376/C</t>
  </si>
  <si>
    <t xml:space="preserve">INSTRUMENT UNIMER-31</t>
  </si>
  <si>
    <t xml:space="preserve">BRUSILICA, zračna, ČZB178</t>
  </si>
  <si>
    <t xml:space="preserve">GORIONIK QVICKY   GORIONOK</t>
  </si>
  <si>
    <t xml:space="preserve">SVRDLO, JUS KD3 046 PR18/465/310</t>
  </si>
  <si>
    <t xml:space="preserve">UREZNIK DIN 374-C-R-1-1/4</t>
  </si>
  <si>
    <t xml:space="preserve">SVRDLO SA MK D 45   KD3022 HSS</t>
  </si>
  <si>
    <t xml:space="preserve">SVRDLO SA MK D 49,5 KD3022 HSS</t>
  </si>
  <si>
    <t xml:space="preserve">SVRDLO SA MK D 51 KD3022 HSS</t>
  </si>
  <si>
    <t xml:space="preserve">UREZNICI R 2''1/4 DIN 353</t>
  </si>
  <si>
    <t xml:space="preserve">UREZNICI M 36x2 DIN 2181</t>
  </si>
  <si>
    <t xml:space="preserve">DRŽAČ NOŽA I GLODALA, DIN 20</t>
  </si>
  <si>
    <t xml:space="preserve">MIKROMETAR ŠTAPNI 75-100 - 0,01 T</t>
  </si>
  <si>
    <t xml:space="preserve">STROJ za rezanje cijevi</t>
  </si>
  <si>
    <t xml:space="preserve">TRAČNA PILA</t>
  </si>
  <si>
    <t xml:space="preserve">UREZNICI STROJNI, M 42  DIN 376/C</t>
  </si>
  <si>
    <t xml:space="preserve">BUŠILICA, stupna</t>
  </si>
  <si>
    <t xml:space="preserve">ČELJUSNA GLAVA</t>
  </si>
  <si>
    <t xml:space="preserve">GLAVA STEZNA D.1-10 MK, JUSKG3</t>
  </si>
  <si>
    <t xml:space="preserve">ŠKARE za sječenje žice, 180</t>
  </si>
  <si>
    <t xml:space="preserve">ALAT za savijanje cijevi, M 1069</t>
  </si>
  <si>
    <t xml:space="preserve">UREZNICI M24x1,5 DIN 2181</t>
  </si>
  <si>
    <t xml:space="preserve">UREZNIK, 45 Z 15 ST.</t>
  </si>
  <si>
    <t xml:space="preserve">PRODUŽETAK, OZ-119002</t>
  </si>
  <si>
    <t xml:space="preserve">TRN REDUCIONI</t>
  </si>
  <si>
    <t xml:space="preserve">GLAVA za obradu površine</t>
  </si>
  <si>
    <t xml:space="preserve">ISPRAVLJAČ, 0320104883  LA</t>
  </si>
  <si>
    <t xml:space="preserve">EXTENSION PIECE, No.119001</t>
  </si>
  <si>
    <t xml:space="preserve">TWIN CUTTER TOOL  No.126008</t>
  </si>
  <si>
    <t xml:space="preserve">PRECISION TOOL       No.136008</t>
  </si>
  <si>
    <t xml:space="preserve">FUTTER, ASBK 36/SK50</t>
  </si>
  <si>
    <t xml:space="preserve">FUTTER, WFLK 340/TR 36</t>
  </si>
  <si>
    <t xml:space="preserve">FUTTER, WFLK 445/TR 36</t>
  </si>
  <si>
    <t xml:space="preserve">ŠABLONA, AL-12266-BAL-8965</t>
  </si>
  <si>
    <t xml:space="preserve">NAPRAVA, AL-8977</t>
  </si>
  <si>
    <t xml:space="preserve">KALUP ZA INJEKTOR, AL-8978</t>
  </si>
  <si>
    <t xml:space="preserve">NAPRAVA,  D140x120, AL-8983</t>
  </si>
  <si>
    <t xml:space="preserve">GLODAČKA GLAVA, AL12268B, 516</t>
  </si>
  <si>
    <t xml:space="preserve">TRN ZA TOK. VODILIAL-8989</t>
  </si>
  <si>
    <t xml:space="preserve">DETALJ PRODUŽ. KUTAL-12253-A (51</t>
  </si>
  <si>
    <t xml:space="preserve">KALIBAR KONUSA T-2AL-8996</t>
  </si>
  <si>
    <t xml:space="preserve">ŠABLONA, AL-8997</t>
  </si>
  <si>
    <t xml:space="preserve">GLODALO D135 NAC.MAL-8963</t>
  </si>
  <si>
    <t xml:space="preserve">GLODALO D135 NAC.MAL-8952</t>
  </si>
  <si>
    <t xml:space="preserve">NAPRAVA, AL-12053-AL-9034</t>
  </si>
  <si>
    <t xml:space="preserve">ŠABLONA, AL-12051 AL-9033</t>
  </si>
  <si>
    <t xml:space="preserve">ŠABLONA, AL-12058-AL-9027</t>
  </si>
  <si>
    <t xml:space="preserve">NAPRAVA  OZ.5185  AL-9022</t>
  </si>
  <si>
    <t xml:space="preserve">NAPRAVA  OZ.4365  AL-9026</t>
  </si>
  <si>
    <t xml:space="preserve">MODEL, kućišta cilindra I</t>
  </si>
  <si>
    <t xml:space="preserve">NAPRAVA NAC. AL-1205191 AL-9042</t>
  </si>
  <si>
    <t xml:space="preserve">NAPRAVA NAC. AL-120AL-9045</t>
  </si>
  <si>
    <t xml:space="preserve">V0DILICA NOSAČA   (2664)  AL-902</t>
  </si>
  <si>
    <t xml:space="preserve">PROTUUTEG ZA BRUŠ. (5206)  AL-904</t>
  </si>
  <si>
    <t xml:space="preserve">ŠABLONA NAC. AC1205AL-9043</t>
  </si>
  <si>
    <t xml:space="preserve">ŠABLONA NAC. AC1206AL-9047</t>
  </si>
  <si>
    <t xml:space="preserve">NAPRAVA NAC. AL1207AL-9041</t>
  </si>
  <si>
    <t xml:space="preserve">KALUP NAC. AL-12061AL-9044</t>
  </si>
  <si>
    <t xml:space="preserve">KALUP NAC. AL-12064AL-9046</t>
  </si>
  <si>
    <t xml:space="preserve">ŠABLONA (5208) NAC. AL12095D</t>
  </si>
  <si>
    <t xml:space="preserve">ODSTOJNA NAP. ZA M694-B  AL-901</t>
  </si>
  <si>
    <t xml:space="preserve">ŠABLONA  (5225)   NAC. AL 12094</t>
  </si>
  <si>
    <t xml:space="preserve">NAPRAVA za tokarenje NAC. AL-12078B</t>
  </si>
  <si>
    <t xml:space="preserve">ŠABLONA (5212)    NAC. AL-12096B</t>
  </si>
  <si>
    <t xml:space="preserve">GLODAČKA GLAVA    (5210)  NAC. A</t>
  </si>
  <si>
    <t xml:space="preserve">NAPRAVA NAC. 05-130, tip.40.342.905</t>
  </si>
  <si>
    <t xml:space="preserve">NAPRAVA NAC. M-699B, tip.AL.9072</t>
  </si>
  <si>
    <r>
      <rPr>
        <sz val="10"/>
        <rFont val="Arial"/>
        <family val="2"/>
        <charset val="238"/>
      </rPr>
      <t xml:space="preserve">VERTIKALNA DUBILICA</t>
    </r>
    <r>
      <rPr>
        <sz val="8"/>
        <rFont val="Arial"/>
        <family val="2"/>
        <charset val="238"/>
      </rPr>
      <t xml:space="preserve"> tip. S 500, pr. Ravensburg</t>
    </r>
  </si>
  <si>
    <r>
      <rPr>
        <sz val="10"/>
        <rFont val="Arial"/>
        <family val="2"/>
        <charset val="238"/>
      </rPr>
      <t xml:space="preserve">NAPRAVA NAC. </t>
    </r>
    <r>
      <rPr>
        <sz val="8"/>
        <rFont val="Arial"/>
        <family val="2"/>
        <charset val="238"/>
      </rPr>
      <t xml:space="preserve">AL-120AL-9079</t>
    </r>
  </si>
  <si>
    <r>
      <rPr>
        <sz val="10"/>
        <rFont val="Arial"/>
        <family val="2"/>
        <charset val="238"/>
      </rPr>
      <t xml:space="preserve">NAPRAVA NAC. </t>
    </r>
    <r>
      <rPr>
        <sz val="8"/>
        <rFont val="Arial"/>
        <family val="2"/>
        <charset val="238"/>
      </rPr>
      <t xml:space="preserve">AL-120AL-9066</t>
    </r>
  </si>
  <si>
    <r>
      <rPr>
        <sz val="10"/>
        <rFont val="Arial"/>
        <family val="2"/>
        <charset val="238"/>
      </rPr>
      <t xml:space="preserve">NAPRAVA NAC. </t>
    </r>
    <r>
      <rPr>
        <sz val="8"/>
        <rFont val="Arial"/>
        <family val="2"/>
        <charset val="238"/>
      </rPr>
      <t xml:space="preserve">AL-120AL-9067</t>
    </r>
  </si>
  <si>
    <r>
      <rPr>
        <sz val="10"/>
        <rFont val="Arial"/>
        <family val="2"/>
        <charset val="238"/>
      </rPr>
      <t xml:space="preserve">NAPRAVA NAC. </t>
    </r>
    <r>
      <rPr>
        <sz val="8"/>
        <rFont val="Arial"/>
        <family val="2"/>
        <charset val="238"/>
      </rPr>
      <t xml:space="preserve">AL-114AL-9080</t>
    </r>
  </si>
  <si>
    <r>
      <rPr>
        <sz val="10"/>
        <rFont val="Arial"/>
        <family val="2"/>
        <charset val="238"/>
      </rPr>
      <t xml:space="preserve">NAPRAVA NAC. </t>
    </r>
    <r>
      <rPr>
        <sz val="8"/>
        <rFont val="Arial"/>
        <family val="2"/>
        <charset val="238"/>
      </rPr>
      <t xml:space="preserve">AL-120AL-9065</t>
    </r>
  </si>
  <si>
    <r>
      <rPr>
        <sz val="10"/>
        <rFont val="Arial"/>
        <family val="2"/>
        <charset val="238"/>
      </rPr>
      <t xml:space="preserve">NAPRAVA NAC. </t>
    </r>
    <r>
      <rPr>
        <sz val="8"/>
        <rFont val="Arial"/>
        <family val="2"/>
        <charset val="238"/>
      </rPr>
      <t xml:space="preserve">05-130 T.P.31-542-904</t>
    </r>
  </si>
  <si>
    <t xml:space="preserve">NAPRAVA NAC. 05-130 T.P.32-542-904</t>
  </si>
  <si>
    <r>
      <rPr>
        <sz val="10"/>
        <rFont val="Arial"/>
        <family val="2"/>
        <charset val="238"/>
      </rPr>
      <t xml:space="preserve">NAPRAVA NAC. </t>
    </r>
    <r>
      <rPr>
        <sz val="8"/>
        <rFont val="Arial"/>
        <family val="2"/>
        <charset val="238"/>
      </rPr>
      <t xml:space="preserve">05-151 T.P.108-542-92</t>
    </r>
  </si>
  <si>
    <r>
      <rPr>
        <sz val="10"/>
        <rFont val="Arial"/>
        <family val="2"/>
        <charset val="238"/>
      </rPr>
      <t xml:space="preserve">PRSTEN ZA VOĐ. ŠTAP T.P. </t>
    </r>
    <r>
      <rPr>
        <sz val="8"/>
        <rFont val="Arial"/>
        <family val="2"/>
        <charset val="238"/>
      </rPr>
      <t xml:space="preserve">18.S42.902</t>
    </r>
  </si>
  <si>
    <r>
      <rPr>
        <sz val="10"/>
        <rFont val="Arial"/>
        <family val="2"/>
        <charset val="238"/>
      </rPr>
      <t xml:space="preserve">ŠABLONA ZA OCR. SEGM. T.P. </t>
    </r>
    <r>
      <rPr>
        <sz val="8"/>
        <rFont val="Arial"/>
        <family val="2"/>
        <charset val="238"/>
      </rPr>
      <t xml:space="preserve">AL9089 N</t>
    </r>
  </si>
  <si>
    <r>
      <rPr>
        <sz val="10"/>
        <rFont val="Arial"/>
        <family val="2"/>
        <charset val="238"/>
      </rPr>
      <t xml:space="preserve">NAPRAVA ZA GLOD. SEGM. T.P. </t>
    </r>
    <r>
      <rPr>
        <sz val="8"/>
        <rFont val="Arial"/>
        <family val="2"/>
        <charset val="238"/>
      </rPr>
      <t xml:space="preserve">AL9073 N</t>
    </r>
  </si>
  <si>
    <r>
      <rPr>
        <sz val="10"/>
        <rFont val="Arial"/>
        <family val="2"/>
        <charset val="238"/>
      </rPr>
      <t xml:space="preserve">ŠABLONA ZA OCRT. SEGM. T.P. </t>
    </r>
    <r>
      <rPr>
        <sz val="8"/>
        <rFont val="Arial"/>
        <family val="2"/>
        <charset val="238"/>
      </rPr>
      <t xml:space="preserve">AL9088 N</t>
    </r>
  </si>
  <si>
    <r>
      <rPr>
        <sz val="10"/>
        <rFont val="Arial"/>
        <family val="2"/>
        <charset val="238"/>
      </rPr>
      <t xml:space="preserve">ŠABLONA ZA KOPIR. GLOD. T.P. </t>
    </r>
    <r>
      <rPr>
        <sz val="8"/>
        <rFont val="Arial"/>
        <family val="2"/>
        <charset val="238"/>
      </rPr>
      <t xml:space="preserve">AL9082 N</t>
    </r>
  </si>
  <si>
    <r>
      <rPr>
        <sz val="10"/>
        <rFont val="Arial"/>
        <family val="2"/>
        <charset val="238"/>
      </rPr>
      <t xml:space="preserve">ŠABLONA ZA KONT. SEG. T.P. </t>
    </r>
    <r>
      <rPr>
        <sz val="8"/>
        <rFont val="Arial"/>
        <family val="2"/>
        <charset val="238"/>
      </rPr>
      <t xml:space="preserve">AL9074 N</t>
    </r>
  </si>
  <si>
    <r>
      <rPr>
        <sz val="10"/>
        <rFont val="Arial"/>
        <family val="2"/>
        <charset val="238"/>
      </rPr>
      <t xml:space="preserve">NAPRAVA ZA RASHLA. OKU. T.P. </t>
    </r>
    <r>
      <rPr>
        <sz val="8"/>
        <rFont val="Arial"/>
        <family val="2"/>
        <charset val="238"/>
      </rPr>
      <t xml:space="preserve">AL9084 N</t>
    </r>
  </si>
  <si>
    <r>
      <rPr>
        <sz val="10"/>
        <rFont val="Arial"/>
        <family val="2"/>
        <charset val="238"/>
      </rPr>
      <t xml:space="preserve">NAPRAVA ZA BUŠ. D8 NA T.P. </t>
    </r>
    <r>
      <rPr>
        <sz val="8"/>
        <rFont val="Arial"/>
        <family val="2"/>
        <charset val="238"/>
      </rPr>
      <t xml:space="preserve">AL9058 N</t>
    </r>
  </si>
  <si>
    <r>
      <rPr>
        <sz val="10"/>
        <rFont val="Arial"/>
        <family val="2"/>
        <charset val="238"/>
      </rPr>
      <t xml:space="preserve">NAPRAVA ZA BRUŠ. VODIL. T.P. </t>
    </r>
    <r>
      <rPr>
        <sz val="8"/>
        <rFont val="Arial"/>
        <family val="2"/>
        <charset val="238"/>
      </rPr>
      <t xml:space="preserve">AL 9055</t>
    </r>
  </si>
  <si>
    <t xml:space="preserve">UNIVERZALNA GLODALICA</t>
  </si>
  <si>
    <r>
      <rPr>
        <sz val="10"/>
        <rFont val="Arial"/>
        <family val="2"/>
        <charset val="238"/>
      </rPr>
      <t xml:space="preserve">LAŽNA OSOVINA T.P.</t>
    </r>
    <r>
      <rPr>
        <sz val="8"/>
        <rFont val="Arial"/>
        <family val="2"/>
        <charset val="238"/>
      </rPr>
      <t xml:space="preserve"> AL9107  NA</t>
    </r>
  </si>
  <si>
    <r>
      <rPr>
        <sz val="10"/>
        <rFont val="Arial"/>
        <family val="2"/>
        <charset val="238"/>
      </rPr>
      <t xml:space="preserve">NAPRAVA, NAC. M703AT. P. </t>
    </r>
    <r>
      <rPr>
        <sz val="8"/>
        <rFont val="Arial"/>
        <family val="2"/>
        <charset val="238"/>
      </rPr>
      <t xml:space="preserve">AL-9102</t>
    </r>
  </si>
  <si>
    <r>
      <rPr>
        <sz val="10"/>
        <rFont val="Arial"/>
        <family val="2"/>
        <charset val="238"/>
      </rPr>
      <t xml:space="preserve">NAPRAVA za dizanje, </t>
    </r>
    <r>
      <rPr>
        <sz val="8"/>
        <rFont val="Arial"/>
        <family val="2"/>
        <charset val="238"/>
      </rPr>
      <t xml:space="preserve">PR. NAC. M700A OZN.</t>
    </r>
  </si>
  <si>
    <r>
      <rPr>
        <sz val="10"/>
        <rFont val="Arial"/>
        <family val="2"/>
        <charset val="238"/>
      </rPr>
      <t xml:space="preserve">BRUSILICA za glodala, </t>
    </r>
    <r>
      <rPr>
        <sz val="8"/>
        <rFont val="Arial"/>
        <family val="2"/>
        <charset val="238"/>
      </rPr>
      <t xml:space="preserve">AL-</t>
    </r>
  </si>
  <si>
    <r>
      <rPr>
        <sz val="10"/>
        <rFont val="Arial"/>
        <family val="2"/>
        <charset val="238"/>
      </rPr>
      <t xml:space="preserve">NAPRAVA ZA GLOD.  TP </t>
    </r>
    <r>
      <rPr>
        <sz val="8"/>
        <rFont val="Arial"/>
        <family val="2"/>
        <charset val="238"/>
      </rPr>
      <t xml:space="preserve">AL-9098 NAC</t>
    </r>
  </si>
  <si>
    <r>
      <rPr>
        <sz val="10"/>
        <rFont val="Arial"/>
        <family val="2"/>
        <charset val="238"/>
      </rPr>
      <t xml:space="preserve">NAPRAVA ZA BRUS.  </t>
    </r>
    <r>
      <rPr>
        <sz val="8"/>
        <rFont val="Arial"/>
        <family val="2"/>
        <charset val="238"/>
      </rPr>
      <t xml:space="preserve">OZN-5259  NAC.</t>
    </r>
  </si>
  <si>
    <r>
      <rPr>
        <sz val="10"/>
        <rFont val="Arial"/>
        <family val="2"/>
        <charset val="238"/>
      </rPr>
      <t xml:space="preserve">PROTUUTEG ZA BRUŠ. </t>
    </r>
    <r>
      <rPr>
        <sz val="8"/>
        <rFont val="Arial"/>
        <family val="2"/>
        <charset val="238"/>
      </rPr>
      <t xml:space="preserve">OZN. 5242 NAC. A</t>
    </r>
  </si>
  <si>
    <r>
      <rPr>
        <sz val="10"/>
        <rFont val="Arial"/>
        <family val="2"/>
        <charset val="238"/>
      </rPr>
      <t xml:space="preserve">NAPRAVA ZA BUŠ. NAC. </t>
    </r>
    <r>
      <rPr>
        <sz val="8"/>
        <rFont val="Arial"/>
        <family val="2"/>
        <charset val="238"/>
      </rPr>
      <t xml:space="preserve">AL 12080-B</t>
    </r>
  </si>
  <si>
    <r>
      <rPr>
        <sz val="10"/>
        <rFont val="Arial"/>
        <family val="2"/>
        <charset val="238"/>
      </rPr>
      <t xml:space="preserve">NAPRAVA ZA TLAČE. </t>
    </r>
    <r>
      <rPr>
        <sz val="8"/>
        <rFont val="Arial"/>
        <family val="2"/>
        <charset val="238"/>
      </rPr>
      <t xml:space="preserve">OZN. 5199 NAC. A</t>
    </r>
  </si>
  <si>
    <r>
      <rPr>
        <sz val="10"/>
        <rFont val="Arial"/>
        <family val="2"/>
        <charset val="238"/>
      </rPr>
      <t xml:space="preserve">ŠABLONA ZA OCRTAV. </t>
    </r>
    <r>
      <rPr>
        <sz val="8"/>
        <rFont val="Arial"/>
        <family val="2"/>
        <charset val="238"/>
      </rPr>
      <t xml:space="preserve">OZN. M704  NAC.</t>
    </r>
  </si>
  <si>
    <r>
      <rPr>
        <sz val="10"/>
        <rFont val="Arial"/>
        <family val="2"/>
        <charset val="238"/>
      </rPr>
      <t xml:space="preserve">ŠABLONA za konus. segmente, </t>
    </r>
    <r>
      <rPr>
        <sz val="8"/>
        <rFont val="Arial"/>
        <family val="2"/>
        <charset val="238"/>
      </rPr>
      <t xml:space="preserve">TP-AL 9092</t>
    </r>
  </si>
  <si>
    <r>
      <rPr>
        <sz val="10"/>
        <rFont val="Arial"/>
        <family val="2"/>
        <charset val="238"/>
      </rPr>
      <t xml:space="preserve">NAPRAVA za mjer. kuta, TP. </t>
    </r>
    <r>
      <rPr>
        <sz val="8"/>
        <rFont val="Arial"/>
        <family val="2"/>
        <charset val="238"/>
      </rPr>
      <t xml:space="preserve">AL 9111  NAC</t>
    </r>
  </si>
  <si>
    <r>
      <rPr>
        <sz val="10"/>
        <rFont val="Arial"/>
        <family val="2"/>
        <charset val="238"/>
      </rPr>
      <t xml:space="preserve">GLAVA ZA TOK. OTVORNAC. </t>
    </r>
    <r>
      <rPr>
        <sz val="8"/>
        <rFont val="Arial"/>
        <family val="2"/>
        <charset val="238"/>
      </rPr>
      <t xml:space="preserve">AL 12376-A</t>
    </r>
  </si>
  <si>
    <r>
      <rPr>
        <sz val="10"/>
        <rFont val="Arial"/>
        <family val="2"/>
        <charset val="238"/>
      </rPr>
      <t xml:space="preserve">NAPRAVA za bušenje na lež. TP. </t>
    </r>
    <r>
      <rPr>
        <sz val="8"/>
        <rFont val="Arial"/>
        <family val="2"/>
        <charset val="238"/>
      </rPr>
      <t xml:space="preserve">AL 9109  NAC</t>
    </r>
  </si>
  <si>
    <r>
      <rPr>
        <sz val="10"/>
        <rFont val="Arial"/>
        <family val="2"/>
        <charset val="238"/>
      </rPr>
      <t xml:space="preserve">PRIZMA ZA KON. KUTA TP. </t>
    </r>
    <r>
      <rPr>
        <sz val="8"/>
        <rFont val="Arial"/>
        <family val="2"/>
        <charset val="238"/>
      </rPr>
      <t xml:space="preserve">AL 9110  NAC</t>
    </r>
  </si>
  <si>
    <r>
      <rPr>
        <sz val="10"/>
        <rFont val="Arial"/>
        <family val="2"/>
        <charset val="238"/>
      </rPr>
      <t xml:space="preserve">NAPRAVA za glod. pok. TP. </t>
    </r>
    <r>
      <rPr>
        <sz val="8"/>
        <rFont val="Arial"/>
        <family val="2"/>
        <charset val="238"/>
      </rPr>
      <t xml:space="preserve">AL 9112  NAC</t>
    </r>
  </si>
  <si>
    <r>
      <rPr>
        <sz val="10"/>
        <rFont val="Arial"/>
        <family val="2"/>
        <charset val="238"/>
      </rPr>
      <t xml:space="preserve">NOSAČ GLOD. GLAVE,  </t>
    </r>
    <r>
      <rPr>
        <sz val="8"/>
        <rFont val="Arial"/>
        <family val="2"/>
        <charset val="238"/>
      </rPr>
      <t xml:space="preserve">G-2993-B AL-</t>
    </r>
  </si>
  <si>
    <r>
      <rPr>
        <sz val="10"/>
        <rFont val="Arial"/>
        <family val="2"/>
        <charset val="238"/>
      </rPr>
      <t xml:space="preserve">NOSAČ GLODAČ. GLAVE </t>
    </r>
    <r>
      <rPr>
        <sz val="8"/>
        <rFont val="Arial"/>
        <family val="2"/>
        <charset val="238"/>
      </rPr>
      <t xml:space="preserve">AL 9001 NAC.29</t>
    </r>
  </si>
  <si>
    <r>
      <rPr>
        <sz val="10"/>
        <rFont val="Arial"/>
        <family val="2"/>
        <charset val="238"/>
      </rPr>
      <t xml:space="preserve">KALUP za ljevanje - </t>
    </r>
    <r>
      <rPr>
        <sz val="8"/>
        <rFont val="Arial"/>
        <family val="2"/>
        <charset val="238"/>
      </rPr>
      <t xml:space="preserve">C  5253  AL 90</t>
    </r>
  </si>
  <si>
    <r>
      <rPr>
        <sz val="10"/>
        <rFont val="Arial"/>
        <family val="2"/>
        <charset val="238"/>
      </rPr>
      <t xml:space="preserve">PRODUŽETAK  NAC. 12 T.P. </t>
    </r>
    <r>
      <rPr>
        <sz val="8"/>
        <rFont val="Arial"/>
        <family val="2"/>
        <charset val="238"/>
      </rPr>
      <t xml:space="preserve">AL 9119</t>
    </r>
  </si>
  <si>
    <r>
      <rPr>
        <sz val="10"/>
        <rFont val="Arial"/>
        <family val="2"/>
        <charset val="238"/>
      </rPr>
      <t xml:space="preserve">NAPRAVA  NAC. AL123 T.P. </t>
    </r>
    <r>
      <rPr>
        <sz val="8"/>
        <rFont val="Arial"/>
        <family val="2"/>
        <charset val="238"/>
      </rPr>
      <t xml:space="preserve">AL 9096</t>
    </r>
  </si>
  <si>
    <r>
      <rPr>
        <sz val="10"/>
        <rFont val="Arial"/>
        <family val="2"/>
        <charset val="238"/>
      </rPr>
      <t xml:space="preserve">NAPRAVA  NAC. AL123 T.P. </t>
    </r>
    <r>
      <rPr>
        <sz val="8"/>
        <rFont val="Arial"/>
        <family val="2"/>
        <charset val="238"/>
      </rPr>
      <t xml:space="preserve">AL 9127</t>
    </r>
  </si>
  <si>
    <r>
      <rPr>
        <sz val="10"/>
        <rFont val="Arial"/>
        <family val="2"/>
        <charset val="238"/>
      </rPr>
      <t xml:space="preserve">NAPRAVA  NAC. AL123 T.P. </t>
    </r>
    <r>
      <rPr>
        <sz val="8"/>
        <rFont val="Arial"/>
        <family val="2"/>
        <charset val="238"/>
      </rPr>
      <t xml:space="preserve">AL 9099</t>
    </r>
  </si>
  <si>
    <r>
      <rPr>
        <sz val="10"/>
        <rFont val="Arial"/>
        <family val="2"/>
        <charset val="238"/>
      </rPr>
      <t xml:space="preserve">NAPRAVA  NAC. AL123 T.P. </t>
    </r>
    <r>
      <rPr>
        <sz val="8"/>
        <rFont val="Arial"/>
        <family val="2"/>
        <charset val="238"/>
      </rPr>
      <t xml:space="preserve">AL 9083</t>
    </r>
  </si>
  <si>
    <r>
      <rPr>
        <sz val="10"/>
        <rFont val="Arial"/>
        <family val="2"/>
        <charset val="238"/>
      </rPr>
      <t xml:space="preserve">NAPRAVA  NAC. AL123 T.P. </t>
    </r>
    <r>
      <rPr>
        <sz val="8"/>
        <rFont val="Arial"/>
        <family val="2"/>
        <charset val="238"/>
      </rPr>
      <t xml:space="preserve">AL 9131</t>
    </r>
  </si>
  <si>
    <r>
      <rPr>
        <sz val="10"/>
        <rFont val="Arial"/>
        <family val="2"/>
        <charset val="238"/>
      </rPr>
      <t xml:space="preserve">NAPRAVA  NAC. AL123 T.P. </t>
    </r>
    <r>
      <rPr>
        <sz val="8"/>
        <rFont val="Arial"/>
        <family val="2"/>
        <charset val="238"/>
      </rPr>
      <t xml:space="preserve">AL 9103</t>
    </r>
  </si>
  <si>
    <r>
      <rPr>
        <sz val="10"/>
        <rFont val="Arial"/>
        <family val="2"/>
        <charset val="238"/>
      </rPr>
      <t xml:space="preserve">NAPRAVA  NAC. AL123 (5266) </t>
    </r>
    <r>
      <rPr>
        <sz val="8"/>
        <rFont val="Arial"/>
        <family val="2"/>
        <charset val="238"/>
      </rPr>
      <t xml:space="preserve">AL 9126</t>
    </r>
  </si>
  <si>
    <t xml:space="preserve">PRSTEN za vođenje 25.550 C. 902 0</t>
  </si>
  <si>
    <r>
      <rPr>
        <sz val="10"/>
        <rFont val="Arial"/>
        <family val="2"/>
        <charset val="238"/>
      </rPr>
      <t xml:space="preserve">UREĐAJ za sušenje, </t>
    </r>
    <r>
      <rPr>
        <sz val="8"/>
        <rFont val="Arial"/>
        <family val="2"/>
        <charset val="238"/>
      </rPr>
      <t xml:space="preserve">tip. E-10 (530x3)</t>
    </r>
  </si>
  <si>
    <r>
      <rPr>
        <sz val="10"/>
        <rFont val="Arial"/>
        <family val="2"/>
        <charset val="238"/>
      </rPr>
      <t xml:space="preserve">TELEFON MOBITEL, </t>
    </r>
    <r>
      <rPr>
        <sz val="8"/>
        <rFont val="Arial"/>
        <family val="2"/>
        <charset val="238"/>
      </rPr>
      <t xml:space="preserve">Ericsson GH 86</t>
    </r>
  </si>
  <si>
    <r>
      <rPr>
        <sz val="10"/>
        <rFont val="Arial"/>
        <family val="2"/>
        <charset val="238"/>
      </rPr>
      <t xml:space="preserve">OTVARAČ STAP. PRSTE. </t>
    </r>
    <r>
      <rPr>
        <sz val="8"/>
        <rFont val="Arial"/>
        <family val="2"/>
        <charset val="238"/>
      </rPr>
      <t xml:space="preserve">ozn. 134 21.S5</t>
    </r>
  </si>
  <si>
    <r>
      <rPr>
        <sz val="10"/>
        <rFont val="Arial"/>
        <family val="2"/>
        <charset val="238"/>
      </rPr>
      <t xml:space="preserve">APARAT za mjer. zračnosti, </t>
    </r>
    <r>
      <rPr>
        <sz val="8"/>
        <rFont val="Arial"/>
        <family val="2"/>
        <charset val="238"/>
      </rPr>
      <t xml:space="preserve">ozn. 050 53.S</t>
    </r>
  </si>
  <si>
    <r>
      <rPr>
        <sz val="10"/>
        <rFont val="Arial"/>
        <family val="2"/>
        <charset val="238"/>
      </rPr>
      <t xml:space="preserve">NAPRAVA za izradu cijevi,  </t>
    </r>
    <r>
      <rPr>
        <sz val="8"/>
        <rFont val="Arial"/>
        <family val="2"/>
        <charset val="238"/>
      </rPr>
      <t xml:space="preserve">M-708</t>
    </r>
  </si>
  <si>
    <t xml:space="preserve">BRUSILICA TATAR za oštrenje spiral. svrdla</t>
  </si>
  <si>
    <r>
      <rPr>
        <sz val="10"/>
        <rFont val="Arial"/>
        <family val="2"/>
        <charset val="238"/>
      </rPr>
      <t xml:space="preserve">SEGMENT za savijanjen cijevi, </t>
    </r>
    <r>
      <rPr>
        <sz val="8"/>
        <rFont val="Arial"/>
        <family val="2"/>
        <charset val="238"/>
      </rPr>
      <t xml:space="preserve">AL-9174</t>
    </r>
  </si>
  <si>
    <t xml:space="preserve">POSTOLJE NAC. N717-B (N7</t>
  </si>
  <si>
    <t xml:space="preserve">VENTILATOR PRENOSNI TR Br.12810</t>
  </si>
  <si>
    <t xml:space="preserve">DRŽAČ PLOČ. UN. NAV. AVR 50 R</t>
  </si>
  <si>
    <t xml:space="preserve">NAS. KLJ . I POLUGA AL 9186 NAC. G</t>
  </si>
  <si>
    <t xml:space="preserve">ŠABLONA OCRT. KVRGI ROM 719C M71</t>
  </si>
  <si>
    <t xml:space="preserve">PODUPIRAČ ZA RAZV. OSOVM 720C M72</t>
  </si>
  <si>
    <t xml:space="preserve">KON. ŽAB. ZA GL. KV. GAL 12279B  529</t>
  </si>
  <si>
    <t xml:space="preserve">RAD. ŽAB. ZA BR. K. ŠAAL 12280B  529</t>
  </si>
  <si>
    <t xml:space="preserve">ŠABONA ZA KOP. BR. OBODAL 12281B  529</t>
  </si>
  <si>
    <t xml:space="preserve">RAZDJELNI KOMAD-9 oznaka 416 (10</t>
  </si>
  <si>
    <t xml:space="preserve">RAZDJELNI KOMAD-5 oznaka 213 (10</t>
  </si>
  <si>
    <t xml:space="preserve">CIJEV sa priključkom, oznaka 095 (10</t>
  </si>
  <si>
    <t xml:space="preserve">CIJEV sa priključkom, oznaka 083 (10</t>
  </si>
  <si>
    <r>
      <rPr>
        <sz val="10"/>
        <rFont val="Arial"/>
        <family val="2"/>
        <charset val="238"/>
      </rPr>
      <t xml:space="preserve">NAPRAVA za TL. RAS. OK. </t>
    </r>
    <r>
      <rPr>
        <sz val="8"/>
        <rFont val="Arial"/>
        <family val="2"/>
        <charset val="238"/>
      </rPr>
      <t xml:space="preserve">AL 12283A 529</t>
    </r>
  </si>
  <si>
    <r>
      <rPr>
        <sz val="10"/>
        <rFont val="Arial"/>
        <family val="2"/>
        <charset val="238"/>
      </rPr>
      <t xml:space="preserve">NAPRAVA za TL. RAS. OK. </t>
    </r>
    <r>
      <rPr>
        <sz val="8"/>
        <rFont val="Arial"/>
        <family val="2"/>
        <charset val="238"/>
      </rPr>
      <t xml:space="preserve">AL 12282C 529</t>
    </r>
  </si>
  <si>
    <r>
      <rPr>
        <sz val="10"/>
        <rFont val="Arial"/>
        <family val="2"/>
        <charset val="238"/>
      </rPr>
      <t xml:space="preserve">ŠABONA za KOP. R65 ST. </t>
    </r>
    <r>
      <rPr>
        <sz val="8"/>
        <rFont val="Arial"/>
        <family val="2"/>
        <charset val="238"/>
      </rPr>
      <t xml:space="preserve">AL 12285C 529</t>
    </r>
  </si>
  <si>
    <t xml:space="preserve">NAPRAVA za DIZ. KUČ. CILM 722A M 72</t>
  </si>
  <si>
    <t xml:space="preserve">TERMOMETAR, P-39650-02</t>
  </si>
  <si>
    <t xml:space="preserve">EL. PILA sa lancem, m. ALPINA</t>
  </si>
  <si>
    <t xml:space="preserve">NAPRAVA za ZATEZ. ČE. TRAKA PRI P</t>
  </si>
  <si>
    <t xml:space="preserve">GLODAĆA GLAVA, 400 WIDAX-HEINLEN</t>
  </si>
  <si>
    <t xml:space="preserve">GLODAĆA GLAVA, 3MF90AX D=315/</t>
  </si>
  <si>
    <t xml:space="preserve">MIKROMETAR ZA UNUT. MJ.50-</t>
  </si>
  <si>
    <t xml:space="preserve">KALUP ZA SAV. V.C. GM 723B M 72</t>
  </si>
  <si>
    <t xml:space="preserve">KALUP ZA SAV. CIJ3/4'' M 725B M 72</t>
  </si>
  <si>
    <r>
      <rPr>
        <sz val="10"/>
        <rFont val="Arial"/>
        <family val="2"/>
        <charset val="238"/>
      </rPr>
      <t xml:space="preserve">ŠABLONA ZA TOKAR., </t>
    </r>
    <r>
      <rPr>
        <sz val="8"/>
        <rFont val="Arial"/>
        <family val="2"/>
        <charset val="238"/>
      </rPr>
      <t xml:space="preserve">AL 12393 D 530</t>
    </r>
  </si>
  <si>
    <r>
      <rPr>
        <sz val="10"/>
        <rFont val="Arial"/>
        <family val="2"/>
        <charset val="238"/>
      </rPr>
      <t xml:space="preserve">NAPRAVA za ocrtavanje, </t>
    </r>
    <r>
      <rPr>
        <sz val="8"/>
        <rFont val="Arial"/>
        <family val="2"/>
        <charset val="238"/>
      </rPr>
      <t xml:space="preserve">FI 17,5 AL 12394 D 530</t>
    </r>
  </si>
  <si>
    <r>
      <rPr>
        <sz val="10"/>
        <rFont val="Arial"/>
        <family val="2"/>
        <charset val="238"/>
      </rPr>
      <t xml:space="preserve">NAPRAVA za buš. vodilica, </t>
    </r>
    <r>
      <rPr>
        <sz val="8"/>
        <rFont val="Arial"/>
        <family val="2"/>
        <charset val="238"/>
      </rPr>
      <t xml:space="preserve">AL 12396 A 530</t>
    </r>
  </si>
  <si>
    <r>
      <rPr>
        <sz val="10"/>
        <rFont val="Arial"/>
        <family val="2"/>
        <charset val="238"/>
      </rPr>
      <t xml:space="preserve">NAPRAVA za BUŠ. PR. </t>
    </r>
    <r>
      <rPr>
        <sz val="8"/>
        <rFont val="Arial"/>
        <family val="2"/>
        <charset val="238"/>
      </rPr>
      <t xml:space="preserve">17,5 AL 12397 A 530</t>
    </r>
  </si>
  <si>
    <r>
      <rPr>
        <sz val="10"/>
        <rFont val="Arial"/>
        <family val="2"/>
        <charset val="238"/>
      </rPr>
      <t xml:space="preserve">GLODAĆA GLAVA, </t>
    </r>
    <r>
      <rPr>
        <sz val="8"/>
        <rFont val="Arial"/>
        <family val="2"/>
        <charset val="238"/>
      </rPr>
      <t xml:space="preserve">M 900 D=200,B1</t>
    </r>
  </si>
  <si>
    <r>
      <rPr>
        <sz val="10"/>
        <rFont val="Arial"/>
        <family val="2"/>
        <charset val="238"/>
      </rPr>
      <t xml:space="preserve">NAPRAVA za BUŠ. VOD. KG </t>
    </r>
    <r>
      <rPr>
        <sz val="8"/>
        <rFont val="Arial"/>
        <family val="2"/>
        <charset val="238"/>
      </rPr>
      <t xml:space="preserve">AL 12398B  530</t>
    </r>
  </si>
  <si>
    <r>
      <rPr>
        <sz val="10"/>
        <rFont val="Arial"/>
        <family val="2"/>
        <charset val="238"/>
      </rPr>
      <t xml:space="preserve">NAPRAVA za POČ. BUŠ. </t>
    </r>
    <r>
      <rPr>
        <sz val="8"/>
        <rFont val="Arial"/>
        <family val="2"/>
        <charset val="238"/>
      </rPr>
      <t xml:space="preserve">10 AL 12399B  530</t>
    </r>
  </si>
  <si>
    <t xml:space="preserve">STROJNI UREZNIK, M 100x6</t>
  </si>
  <si>
    <t xml:space="preserve">DRŽAČ UREZNIKA, DUŽINA DRŽAČA</t>
  </si>
  <si>
    <t xml:space="preserve">DRŽAČ UREZNIKA, PRODUŽENI L=31</t>
  </si>
  <si>
    <r>
      <rPr>
        <sz val="10"/>
        <rFont val="Arial"/>
        <family val="2"/>
        <charset val="238"/>
      </rPr>
      <t xml:space="preserve">KUTOMJER, </t>
    </r>
    <r>
      <rPr>
        <sz val="8"/>
        <rFont val="Arial"/>
        <family val="2"/>
        <charset val="238"/>
      </rPr>
      <t xml:space="preserve">DIN 875, 2000x1500 90 S</t>
    </r>
  </si>
  <si>
    <t xml:space="preserve">NAPRAVA za lijevanje B.K. E-726B E-7</t>
  </si>
  <si>
    <r>
      <rPr>
        <sz val="10"/>
        <rFont val="Arial"/>
        <family val="2"/>
        <charset val="238"/>
      </rPr>
      <t xml:space="preserve">MOTORNA KOSA </t>
    </r>
    <r>
      <rPr>
        <sz val="8"/>
        <rFont val="Arial"/>
        <family val="2"/>
        <charset val="238"/>
      </rPr>
      <t xml:space="preserve">(Knapić)</t>
    </r>
  </si>
  <si>
    <t xml:space="preserve">MOMENT KLJUČ 1-20 kg</t>
  </si>
  <si>
    <r>
      <rPr>
        <sz val="10"/>
        <rFont val="Arial"/>
        <family val="2"/>
        <charset val="238"/>
      </rPr>
      <t xml:space="preserve">PRODUŽETAK za glod. </t>
    </r>
    <r>
      <rPr>
        <sz val="8"/>
        <rFont val="Arial"/>
        <family val="2"/>
        <charset val="238"/>
      </rPr>
      <t xml:space="preserve">FI 80 TMAL 12311C 532</t>
    </r>
  </si>
  <si>
    <r>
      <rPr>
        <sz val="10"/>
        <rFont val="Arial"/>
        <family val="2"/>
        <charset val="238"/>
      </rPr>
      <t xml:space="preserve">NAPRAVA za glodanje, </t>
    </r>
    <r>
      <rPr>
        <sz val="8"/>
        <rFont val="Arial"/>
        <family val="2"/>
        <charset val="238"/>
      </rPr>
      <t xml:space="preserve">AL 12310-B 532</t>
    </r>
  </si>
  <si>
    <r>
      <rPr>
        <sz val="10"/>
        <rFont val="Arial"/>
        <family val="2"/>
        <charset val="238"/>
      </rPr>
      <t xml:space="preserve">REDUKTOR, </t>
    </r>
    <r>
      <rPr>
        <sz val="8"/>
        <rFont val="Arial"/>
        <family val="2"/>
        <charset val="238"/>
      </rPr>
      <t xml:space="preserve">tip. 35518 sa elektromotorom</t>
    </r>
  </si>
  <si>
    <t xml:space="preserve">GLAVA bušeća, oznaka 3.76050</t>
  </si>
  <si>
    <r>
      <rPr>
        <sz val="10"/>
        <rFont val="Arial"/>
        <family val="2"/>
        <charset val="238"/>
      </rPr>
      <t xml:space="preserve">ŠABONA za OCRT. SEG. </t>
    </r>
    <r>
      <rPr>
        <sz val="8"/>
        <rFont val="Arial"/>
        <family val="2"/>
        <charset val="238"/>
      </rPr>
      <t xml:space="preserve">OLAL 12451 C 533</t>
    </r>
  </si>
  <si>
    <r>
      <rPr>
        <sz val="10"/>
        <rFont val="Arial"/>
        <family val="2"/>
        <charset val="238"/>
      </rPr>
      <t xml:space="preserve">NAPRAVA za LJEV. BK LEŽ. </t>
    </r>
    <r>
      <rPr>
        <sz val="8"/>
        <rFont val="Arial"/>
        <family val="2"/>
        <charset val="238"/>
      </rPr>
      <t xml:space="preserve">AL 12456 C 533</t>
    </r>
  </si>
  <si>
    <r>
      <rPr>
        <sz val="10"/>
        <rFont val="Arial"/>
        <family val="2"/>
        <charset val="238"/>
      </rPr>
      <t xml:space="preserve">CENTI. ČEP ZA BR. </t>
    </r>
    <r>
      <rPr>
        <sz val="8"/>
        <rFont val="Arial"/>
        <family val="2"/>
        <charset val="238"/>
      </rPr>
      <t xml:space="preserve">OSAL 12457 C 533</t>
    </r>
  </si>
  <si>
    <r>
      <rPr>
        <sz val="10"/>
        <rFont val="Arial"/>
        <family val="2"/>
        <charset val="238"/>
      </rPr>
      <t xml:space="preserve">KLJUČ ZA ST. C. ČEPA, </t>
    </r>
    <r>
      <rPr>
        <sz val="8"/>
        <rFont val="Arial"/>
        <family val="2"/>
        <charset val="238"/>
      </rPr>
      <t xml:space="preserve">AL 12465 C 534</t>
    </r>
  </si>
  <si>
    <t xml:space="preserve">NAPRAVA za otvaranje, NC. 01-16700</t>
  </si>
  <si>
    <r>
      <rPr>
        <sz val="10"/>
        <rFont val="Arial"/>
        <family val="2"/>
        <charset val="238"/>
      </rPr>
      <t xml:space="preserve">KONTROLNI TRN,  </t>
    </r>
    <r>
      <rPr>
        <sz val="8"/>
        <rFont val="Arial"/>
        <family val="2"/>
        <charset val="238"/>
      </rPr>
      <t xml:space="preserve">M-587B    M-58</t>
    </r>
  </si>
  <si>
    <t xml:space="preserve">UREZNIK STROJNI, ROBUST-šuplji</t>
  </si>
  <si>
    <t xml:space="preserve">GLOD. ZA FIN. OBRAD. HSS-ECO-PRIHVA</t>
  </si>
  <si>
    <t xml:space="preserve">UREZNIK RUČNI M30 HSS</t>
  </si>
  <si>
    <r>
      <rPr>
        <sz val="10"/>
        <rFont val="Arial"/>
        <family val="2"/>
        <charset val="238"/>
      </rPr>
      <t xml:space="preserve">NAPRAVA za ST. NAP. LAN. </t>
    </r>
    <r>
      <rPr>
        <sz val="8"/>
        <rFont val="Arial"/>
        <family val="2"/>
        <charset val="238"/>
      </rPr>
      <t xml:space="preserve">AL 12286B 532</t>
    </r>
  </si>
  <si>
    <r>
      <rPr>
        <sz val="10"/>
        <rFont val="Arial"/>
        <family val="2"/>
        <charset val="238"/>
      </rPr>
      <t xml:space="preserve">PROTUUTEG ZA BR. </t>
    </r>
    <r>
      <rPr>
        <sz val="8"/>
        <rFont val="Arial"/>
        <family val="2"/>
        <charset val="238"/>
      </rPr>
      <t xml:space="preserve">OSAL 12458C 534</t>
    </r>
  </si>
  <si>
    <t xml:space="preserve">OKRETNI STOL za bušilicu i glodalicu</t>
  </si>
  <si>
    <t xml:space="preserve">DIZALICA MOSNA sa kranskom stazom</t>
  </si>
  <si>
    <r>
      <rPr>
        <sz val="10"/>
        <rFont val="Arial"/>
        <family val="2"/>
        <charset val="238"/>
      </rPr>
      <t xml:space="preserve">KALUP za LJEV. BK. </t>
    </r>
    <r>
      <rPr>
        <sz val="8"/>
        <rFont val="Arial"/>
        <family val="2"/>
        <charset val="238"/>
      </rPr>
      <t xml:space="preserve">OL AL 12452C  533</t>
    </r>
  </si>
  <si>
    <r>
      <rPr>
        <sz val="10"/>
        <rFont val="Arial"/>
        <family val="2"/>
        <charset val="238"/>
      </rPr>
      <t xml:space="preserve">NAPRAVA za GLO. SEG. </t>
    </r>
    <r>
      <rPr>
        <sz val="8"/>
        <rFont val="Arial"/>
        <family val="2"/>
        <charset val="238"/>
      </rPr>
      <t xml:space="preserve">OL AL 12455B 533</t>
    </r>
  </si>
  <si>
    <r>
      <rPr>
        <sz val="10"/>
        <rFont val="Arial"/>
        <family val="2"/>
        <charset val="238"/>
      </rPr>
      <t xml:space="preserve">PROTUUTEG ZA BRUŠ. </t>
    </r>
    <r>
      <rPr>
        <sz val="8"/>
        <rFont val="Arial"/>
        <family val="2"/>
        <charset val="238"/>
      </rPr>
      <t xml:space="preserve">AL 11777B  436</t>
    </r>
  </si>
  <si>
    <r>
      <rPr>
        <sz val="10"/>
        <rFont val="Arial"/>
        <family val="2"/>
        <charset val="238"/>
      </rPr>
      <t xml:space="preserve">ŠABLONA za KONT. SEG. </t>
    </r>
    <r>
      <rPr>
        <sz val="8"/>
        <rFont val="Arial"/>
        <family val="2"/>
        <charset val="238"/>
      </rPr>
      <t xml:space="preserve">OL AL 12454C 533</t>
    </r>
  </si>
  <si>
    <r>
      <rPr>
        <sz val="10"/>
        <rFont val="Arial"/>
        <family val="2"/>
        <charset val="238"/>
      </rPr>
      <t xml:space="preserve">CENT. TRN-ZAVRŠNA </t>
    </r>
    <r>
      <rPr>
        <sz val="8"/>
        <rFont val="Arial"/>
        <family val="2"/>
        <charset val="238"/>
      </rPr>
      <t xml:space="preserve">AL 12483C 535</t>
    </r>
  </si>
  <si>
    <r>
      <rPr>
        <sz val="10"/>
        <rFont val="Arial"/>
        <family val="2"/>
        <charset val="238"/>
      </rPr>
      <t xml:space="preserve">KALIBAR KONUSA </t>
    </r>
    <r>
      <rPr>
        <sz val="8"/>
        <rFont val="Arial"/>
        <family val="2"/>
        <charset val="238"/>
      </rPr>
      <t xml:space="preserve">(za hidrauličk.)</t>
    </r>
  </si>
  <si>
    <t xml:space="preserve">GLODALO, F2252.B.125.Z0   </t>
  </si>
  <si>
    <t xml:space="preserve">MODULNO GLODALO   M=6, T=18,85, Z=</t>
  </si>
  <si>
    <t xml:space="preserve">NAPRAVA za DIZ. OSNJAKM-728C  M72   </t>
  </si>
  <si>
    <t xml:space="preserve">NAPRAVA za LJEV. BK STAL 12484B  535   </t>
  </si>
  <si>
    <t xml:space="preserve">NAPRAVA za LIJ. BK LEŽAL 12603C  536   </t>
  </si>
  <si>
    <t xml:space="preserve">POSTOLJE za rad osnjaka, M-736B, M-73</t>
  </si>
  <si>
    <t xml:space="preserve">NAPRAVA za diz. osnjaka, M-737C, M-73</t>
  </si>
  <si>
    <r>
      <rPr>
        <sz val="10"/>
        <rFont val="Arial"/>
        <family val="2"/>
        <charset val="238"/>
      </rPr>
      <t xml:space="preserve">ŠABLONA za KONT. SEG. </t>
    </r>
    <r>
      <rPr>
        <sz val="8"/>
        <rFont val="Arial"/>
        <family val="2"/>
        <charset val="238"/>
      </rPr>
      <t xml:space="preserve">OL AL 12608C 538</t>
    </r>
  </si>
  <si>
    <t xml:space="preserve">DRŽAČ SVRDLA, DIN 6987/SK 50   </t>
  </si>
  <si>
    <t xml:space="preserve">SVRDLO 026, za držač, DIN 6</t>
  </si>
  <si>
    <r>
      <rPr>
        <sz val="10"/>
        <rFont val="Arial"/>
        <family val="2"/>
        <charset val="238"/>
      </rPr>
      <t xml:space="preserve">NAPRAVA za TOK. SEG. </t>
    </r>
    <r>
      <rPr>
        <sz val="8"/>
        <rFont val="Arial"/>
        <family val="2"/>
        <charset val="238"/>
      </rPr>
      <t xml:space="preserve">OLAL 12363C  525</t>
    </r>
    <r>
      <rPr>
        <sz val="10"/>
        <rFont val="Arial"/>
        <family val="2"/>
        <charset val="238"/>
      </rPr>
      <t xml:space="preserve">   </t>
    </r>
  </si>
  <si>
    <t xml:space="preserve">DIZALICA VEDA, nos. 5T</t>
  </si>
  <si>
    <t xml:space="preserve">STROJNI UREZNIK, M100x6                 </t>
  </si>
  <si>
    <r>
      <rPr>
        <sz val="10"/>
        <rFont val="Arial"/>
        <family val="2"/>
        <charset val="238"/>
      </rPr>
      <t xml:space="preserve">NAPRAVA za BUŠ. KOS. </t>
    </r>
    <r>
      <rPr>
        <sz val="8"/>
        <rFont val="Arial"/>
        <family val="2"/>
        <charset val="238"/>
      </rPr>
      <t xml:space="preserve">RUAL 12601C 536  </t>
    </r>
    <r>
      <rPr>
        <sz val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</si>
  <si>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NAPRAVA za GLO. SEG. </t>
    </r>
    <r>
      <rPr>
        <sz val="8"/>
        <rFont val="Arial"/>
        <family val="2"/>
        <charset val="238"/>
      </rPr>
      <t xml:space="preserve">OL AL 12609C 538</t>
    </r>
  </si>
  <si>
    <r>
      <rPr>
        <sz val="10"/>
        <rFont val="Arial"/>
        <family val="2"/>
        <charset val="238"/>
      </rPr>
      <t xml:space="preserve">NOSAČ GL. ZA OBR. </t>
    </r>
    <r>
      <rPr>
        <sz val="8"/>
        <rFont val="Arial"/>
        <family val="2"/>
        <charset val="238"/>
      </rPr>
      <t xml:space="preserve">TPAL 12612B  539  </t>
    </r>
    <r>
      <rPr>
        <sz val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</si>
  <si>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PROD. ZA NAR. SV. M64 </t>
    </r>
    <r>
      <rPr>
        <sz val="8"/>
        <rFont val="Arial"/>
        <family val="2"/>
        <charset val="238"/>
      </rPr>
      <t xml:space="preserve">AL 12613B  539</t>
    </r>
    <r>
      <rPr>
        <sz val="10"/>
        <rFont val="Arial"/>
        <family val="2"/>
        <charset val="238"/>
      </rPr>
      <t xml:space="preserve">   </t>
    </r>
  </si>
  <si>
    <t xml:space="preserve">GLODAĆA GLAVA, 3MF75AX D200-1   </t>
  </si>
  <si>
    <t xml:space="preserve">AGREGAT SA 380</t>
  </si>
  <si>
    <t xml:space="preserve">ALAT ZA OBR. ULJ. K.AL 12478D  535</t>
  </si>
  <si>
    <t xml:space="preserve">ALAT ZA OBR.STOPE AL 12479D  536</t>
  </si>
  <si>
    <t xml:space="preserve">ALAT ZA OBR. SKOŠ. AL 12480C  536</t>
  </si>
  <si>
    <t xml:space="preserve">ALAT ZA OBR. SKOŠ. AL 12481C  536</t>
  </si>
  <si>
    <t xml:space="preserve">ALAT ZA OBR. SKOŠ. AL 12602D  536</t>
  </si>
  <si>
    <r>
      <rPr>
        <sz val="10"/>
        <rFont val="Arial"/>
        <family val="2"/>
        <charset val="238"/>
      </rPr>
      <t xml:space="preserve">KALUP ZA LIJEV. BK. </t>
    </r>
    <r>
      <rPr>
        <sz val="8"/>
        <rFont val="Arial"/>
        <family val="2"/>
        <charset val="238"/>
      </rPr>
      <t xml:space="preserve">ODAL 12607C  538</t>
    </r>
  </si>
  <si>
    <t xml:space="preserve">DIZALICA sa galovim lancem</t>
  </si>
  <si>
    <r>
      <rPr>
        <sz val="10"/>
        <rFont val="Arial"/>
        <family val="2"/>
        <charset val="238"/>
      </rPr>
      <t xml:space="preserve">NAPRAVA za tokarenje SEG. O. </t>
    </r>
    <r>
      <rPr>
        <sz val="8"/>
        <rFont val="Arial"/>
        <family val="2"/>
        <charset val="238"/>
      </rPr>
      <t xml:space="preserve">LAL 1261</t>
    </r>
  </si>
  <si>
    <t xml:space="preserve">DIZALICA MOSNA, nos. 3T</t>
  </si>
  <si>
    <t xml:space="preserve">UREZNIK strojni, M 33</t>
  </si>
  <si>
    <r>
      <rPr>
        <sz val="10"/>
        <rFont val="Arial"/>
        <family val="2"/>
        <charset val="238"/>
      </rPr>
      <t xml:space="preserve">NAPRAVA za TL. RAS. OK. </t>
    </r>
    <r>
      <rPr>
        <sz val="8"/>
        <rFont val="Arial"/>
        <family val="2"/>
        <charset val="238"/>
      </rPr>
      <t xml:space="preserve">AL 1142</t>
    </r>
  </si>
  <si>
    <t xml:space="preserve">SVRDLO TOP CUT</t>
  </si>
  <si>
    <r>
      <rPr>
        <sz val="10"/>
        <rFont val="Arial"/>
        <family val="2"/>
        <charset val="238"/>
      </rPr>
      <t xml:space="preserve">RADIO STANICA, </t>
    </r>
    <r>
      <rPr>
        <sz val="8"/>
        <rFont val="Arial"/>
        <family val="2"/>
        <charset val="238"/>
      </rPr>
      <t xml:space="preserve">SL70V 160</t>
    </r>
  </si>
  <si>
    <r>
      <rPr>
        <sz val="10"/>
        <rFont val="Arial"/>
        <family val="2"/>
        <charset val="238"/>
      </rPr>
      <t xml:space="preserve">NAPRAVA za GL. SEG. OL.</t>
    </r>
    <r>
      <rPr>
        <sz val="8"/>
        <rFont val="Arial"/>
        <family val="2"/>
        <charset val="238"/>
      </rPr>
      <t xml:space="preserve"> AL 12489C</t>
    </r>
  </si>
  <si>
    <r>
      <rPr>
        <sz val="10"/>
        <rFont val="Arial"/>
        <family val="2"/>
        <charset val="238"/>
      </rPr>
      <t xml:space="preserve">NAPRAVA za TL. OK. </t>
    </r>
    <r>
      <rPr>
        <sz val="8"/>
        <rFont val="Arial"/>
        <family val="2"/>
        <charset val="238"/>
      </rPr>
      <t xml:space="preserve">AL 1142</t>
    </r>
  </si>
  <si>
    <t xml:space="preserve">PRIHVAT za stroj, HSK 100x12</t>
  </si>
  <si>
    <t xml:space="preserve">PRIHVAT za stroj, HSK 100x16</t>
  </si>
  <si>
    <t xml:space="preserve">PRIHVAT za stroj, HSK 100x32</t>
  </si>
  <si>
    <t xml:space="preserve">PRIHVAT za stroj, HSK 100x40</t>
  </si>
  <si>
    <t xml:space="preserve">CRPKA, pr. GRUNDFOS, za rashl. tekućinu</t>
  </si>
  <si>
    <r>
      <rPr>
        <sz val="10"/>
        <rFont val="Arial"/>
        <family val="2"/>
        <charset val="238"/>
      </rPr>
      <t xml:space="preserve">NAPRAVA za POČ. BUŠ. </t>
    </r>
    <r>
      <rPr>
        <sz val="8"/>
        <rFont val="Arial"/>
        <family val="2"/>
        <charset val="238"/>
      </rPr>
      <t xml:space="preserve">10AL 12420B  539</t>
    </r>
  </si>
  <si>
    <t xml:space="preserve">SVRDLO, TOP CUT PLUS 2</t>
  </si>
  <si>
    <t xml:space="preserve">SVRDLO, specijalno, TOP CUT PLUS 2</t>
  </si>
  <si>
    <t xml:space="preserve">SVRDLO, specijalno, TOP CUT PLUS 5</t>
  </si>
  <si>
    <t xml:space="preserve">OSNOVNI DRŽAČ sa HSK 100 ZAV</t>
  </si>
  <si>
    <t xml:space="preserve">PRODUŽETAK,  X1 = 900 mm</t>
  </si>
  <si>
    <t xml:space="preserve">PRIHVAT stroj, HSK 100x10</t>
  </si>
  <si>
    <t xml:space="preserve">PRIHVAT za stroj, HSK 100x25</t>
  </si>
  <si>
    <t xml:space="preserve">STEZNA GLAVA, D125/3D125MM Z</t>
  </si>
  <si>
    <t xml:space="preserve">ŠILJAK MK5 - komplet sa držačem</t>
  </si>
  <si>
    <t xml:space="preserve">NAPRAVA, ZA NAMJEŠT. CEN</t>
  </si>
  <si>
    <t xml:space="preserve">REDUCIR PUŠKICA, MK5/MK1 PRODUŽ.</t>
  </si>
  <si>
    <t xml:space="preserve">REDUCIR PUŠKICA, MK5/MK4</t>
  </si>
  <si>
    <t xml:space="preserve">PRIHVAT KSN, MK3 F3303103</t>
  </si>
  <si>
    <t xml:space="preserve">PRIHVAT KSN, MK4 F3303104</t>
  </si>
  <si>
    <t xml:space="preserve">KLJUČ OKASTI SAV.  6-32  JUSKG5091</t>
  </si>
  <si>
    <t xml:space="preserve">STROJNI UREZNIK   M 48 DIN 371</t>
  </si>
  <si>
    <t xml:space="preserve">MAGNET nos. 500 kg, dim. 242x106</t>
  </si>
  <si>
    <t xml:space="preserve">KLJUČ NASADNI, od 10-32 mm</t>
  </si>
  <si>
    <t xml:space="preserve">KAL. ZA SAV. VTC. GO. M-746B    M-74</t>
  </si>
  <si>
    <t xml:space="preserve">MATICA ZA STEZANJE, multiplikator</t>
  </si>
  <si>
    <t xml:space="preserve">KLUČ ZA STEZ. MATICA, multiplikator</t>
  </si>
  <si>
    <t xml:space="preserve">SVRDLO SA MK D 50 KD3022 HSS</t>
  </si>
  <si>
    <t xml:space="preserve">NASTAVAK ZA GLODALO M 3</t>
  </si>
  <si>
    <t xml:space="preserve">MIKROMETAR ZA MJERENJE ŽL.</t>
  </si>
  <si>
    <t xml:space="preserve">SVRDLO SA MK D 46, KD3022 HSS</t>
  </si>
  <si>
    <t xml:space="preserve">LIBELA MEHANIČKA 200 m/m</t>
  </si>
  <si>
    <t xml:space="preserve">PROTUUTEG ZA BRUŠ. AL 11777B  436</t>
  </si>
  <si>
    <t xml:space="preserve">ČEP ZA OBR. KRIŽNE AL 11866D  509</t>
  </si>
  <si>
    <t xml:space="preserve">NAPRAVA za TL. VT CJ.GOAL 8332-C  540</t>
  </si>
  <si>
    <t xml:space="preserve">KALUP za LIJEV. BK. ODAL 12607C  538</t>
  </si>
  <si>
    <t xml:space="preserve">KALUP za LJ. BK SE. OLAL 12487C  538</t>
  </si>
  <si>
    <t xml:space="preserve">KALIBAR KONUSA za hidraulične vijke</t>
  </si>
  <si>
    <r>
      <rPr>
        <sz val="10"/>
        <rFont val="Arial"/>
        <family val="2"/>
        <charset val="238"/>
      </rPr>
      <t xml:space="preserve">NAPRAVA za BUŠ. PR. STR. </t>
    </r>
    <r>
      <rPr>
        <sz val="8"/>
        <rFont val="Arial"/>
        <family val="2"/>
        <charset val="238"/>
      </rPr>
      <t xml:space="preserve">AL 12428C 540</t>
    </r>
  </si>
  <si>
    <t xml:space="preserve">KALUP za LJEV. BK. OL AL 12452C  533</t>
  </si>
  <si>
    <r>
      <rPr>
        <sz val="10"/>
        <rFont val="Arial"/>
        <family val="2"/>
        <charset val="238"/>
      </rPr>
      <t xml:space="preserve">NAPRAVA za TL. CIL. BLOKAL </t>
    </r>
    <r>
      <rPr>
        <sz val="8"/>
        <rFont val="Arial"/>
        <family val="2"/>
        <charset val="238"/>
      </rPr>
      <t xml:space="preserve">12423C 540</t>
    </r>
  </si>
  <si>
    <t xml:space="preserve">STALAK ZA ODLAGANJE K</t>
  </si>
  <si>
    <r>
      <rPr>
        <sz val="10"/>
        <rFont val="Arial"/>
        <family val="2"/>
        <charset val="238"/>
      </rPr>
      <t xml:space="preserve">NAPRAVA za ST. OS. U VE. </t>
    </r>
    <r>
      <rPr>
        <sz val="8"/>
        <rFont val="Arial"/>
        <family val="2"/>
        <charset val="238"/>
      </rPr>
      <t xml:space="preserve">PAL 12432B  541</t>
    </r>
  </si>
  <si>
    <t xml:space="preserve">REŠ. NOSAČ KUT. CEM. V 3067</t>
  </si>
  <si>
    <t xml:space="preserve">KUT. ZA CEM. KVRGA  V 3068</t>
  </si>
  <si>
    <t xml:space="preserve">NA. ZA ST. OS. U HO. PAL 12431B  541</t>
  </si>
  <si>
    <r>
      <rPr>
        <sz val="10"/>
        <rFont val="Arial"/>
        <family val="2"/>
        <charset val="238"/>
      </rPr>
      <t xml:space="preserve">HIRAULIČNI PRIHVAT, </t>
    </r>
    <r>
      <rPr>
        <sz val="9"/>
        <rFont val="Arial"/>
        <family val="2"/>
        <charset val="238"/>
      </rPr>
      <t xml:space="preserve">tip. DV50BHC10077M</t>
    </r>
  </si>
  <si>
    <t xml:space="preserve">PLANSKA GLOD. GLAVA, D80 Z=6, KAT.B</t>
  </si>
  <si>
    <t xml:space="preserve">PLANSKA GLOD. GLAVA, D125, Z=10 KAT</t>
  </si>
  <si>
    <t xml:space="preserve">KSEM SVRDLO, D20 3XD oznaka</t>
  </si>
  <si>
    <t xml:space="preserve">KSEM SVRDLO, D 25 3XD  KSEM</t>
  </si>
  <si>
    <t xml:space="preserve">SE SVRDLO, D14 4,9XD  B22</t>
  </si>
  <si>
    <t xml:space="preserve">SVRDLO D20  T29A ZA PREDBUŠ. I S</t>
  </si>
  <si>
    <t xml:space="preserve">KSEM SVRDLO, D24 3XD  KSEM</t>
  </si>
  <si>
    <t xml:space="preserve">KSEM SVRDLO, D32   KSEM320</t>
  </si>
  <si>
    <t xml:space="preserve">TIJELO SVRDLA, D45 SA IZMJE. PLOČ.</t>
  </si>
  <si>
    <t xml:space="preserve">GLODALO ZA NAVOJ  42x2R045B32STN</t>
  </si>
  <si>
    <t xml:space="preserve">GLODAĆA GLAVA     M680 D100 Z=8</t>
  </si>
  <si>
    <t xml:space="preserve">GLODALO, M390 D80 Z=5</t>
  </si>
  <si>
    <t xml:space="preserve">GLODALO, D80x200xSK50 Z</t>
  </si>
  <si>
    <t xml:space="preserve">ALAT za rastokarivanje, D110x275H8 AX1</t>
  </si>
  <si>
    <t xml:space="preserve">NAP. ZA ST. KUĆ. IS. VAL 12433B  541</t>
  </si>
  <si>
    <t xml:space="preserve">UREZNIK STROJNI   M52 ROBUST 2X-</t>
  </si>
  <si>
    <t xml:space="preserve">STROJNI UREZNIK   PRODUŽENI M20</t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</si>
  <si>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DV50BHC20082M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</si>
  <si>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DV50BWN16063M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</si>
  <si>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DV50BHC12077M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</si>
  <si>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DV50BHC10077M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</si>
  <si>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DV50BHC14082M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</si>
  <si>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DV50BWD50075M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</si>
  <si>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DV50BKR32041M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</si>
  <si>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DV50BHC08072M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</si>
  <si>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DV50BWD40070M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</si>
  <si>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DV50BWD32060M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</si>
  <si>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DV50BHC18082M</t>
    </r>
  </si>
  <si>
    <r>
      <rPr>
        <sz val="10"/>
        <rFont val="Arial"/>
        <family val="2"/>
        <charset val="238"/>
      </rPr>
      <t xml:space="preserve">KSEM SVRDLO, </t>
    </r>
    <r>
      <rPr>
        <sz val="8"/>
        <rFont val="Arial"/>
        <family val="2"/>
        <charset val="238"/>
      </rPr>
      <t xml:space="preserve">D 34 5XD  KSEM</t>
    </r>
  </si>
  <si>
    <t xml:space="preserve">SVRDLO, D 20  T29A, ZA PREDBUŠ. I S</t>
  </si>
  <si>
    <t xml:space="preserve">SVRDLO, D 52  2XD  DFT</t>
  </si>
  <si>
    <t xml:space="preserve">UREZNIK STROJNI   G3/8X17,5 REZ.</t>
  </si>
  <si>
    <r>
      <rPr>
        <sz val="10"/>
        <rFont val="Arial"/>
        <family val="2"/>
        <charset val="238"/>
      </rPr>
      <t xml:space="preserve">STEPENASTO SVRDLO, </t>
    </r>
    <r>
      <rPr>
        <sz val="8"/>
        <rFont val="Arial"/>
        <family val="2"/>
        <charset val="238"/>
      </rPr>
      <t xml:space="preserve">TX D11X17/8,5X</t>
    </r>
  </si>
  <si>
    <r>
      <rPr>
        <sz val="10"/>
        <rFont val="Arial"/>
        <family val="2"/>
        <charset val="238"/>
      </rPr>
      <t xml:space="preserve">STEPENASTO SVRDLO, </t>
    </r>
    <r>
      <rPr>
        <sz val="8"/>
        <rFont val="Arial"/>
        <family val="2"/>
        <charset val="238"/>
      </rPr>
      <t xml:space="preserve">D12,3/SKOŠ.B71</t>
    </r>
  </si>
  <si>
    <r>
      <rPr>
        <sz val="10"/>
        <rFont val="Arial"/>
        <family val="2"/>
        <charset val="238"/>
      </rPr>
      <t xml:space="preserve">ALAT za rastokarivanje, </t>
    </r>
    <r>
      <rPr>
        <sz val="8"/>
        <rFont val="Arial"/>
        <family val="2"/>
        <charset val="238"/>
      </rPr>
      <t xml:space="preserve">D110x275 H8 AX1</t>
    </r>
  </si>
  <si>
    <r>
      <rPr>
        <sz val="10"/>
        <rFont val="Arial"/>
        <family val="2"/>
        <charset val="238"/>
      </rPr>
      <t xml:space="preserve">STE. SVRDLO, </t>
    </r>
    <r>
      <rPr>
        <sz val="8"/>
        <rFont val="Arial"/>
        <family val="2"/>
        <charset val="238"/>
      </rPr>
      <t xml:space="preserve">T37/T38D=6,6/5 + SKOŠ.</t>
    </r>
  </si>
  <si>
    <r>
      <rPr>
        <sz val="10"/>
        <rFont val="Arial"/>
        <family val="2"/>
        <charset val="238"/>
      </rPr>
      <t xml:space="preserve">TOPOVSKO SVRDLO, </t>
    </r>
    <r>
      <rPr>
        <sz val="8"/>
        <rFont val="Arial"/>
        <family val="2"/>
        <charset val="238"/>
      </rPr>
      <t xml:space="preserve">D 15x260  T83</t>
    </r>
  </si>
  <si>
    <r>
      <rPr>
        <sz val="10"/>
        <rFont val="Arial"/>
        <family val="2"/>
        <charset val="238"/>
      </rPr>
      <t xml:space="preserve">ALAT za skošavanje, </t>
    </r>
    <r>
      <rPr>
        <sz val="8"/>
        <rFont val="Arial"/>
        <family val="2"/>
        <charset val="238"/>
      </rPr>
      <t xml:space="preserve">D 36/15 STUP.</t>
    </r>
  </si>
  <si>
    <r>
      <rPr>
        <sz val="10"/>
        <rFont val="Arial"/>
        <family val="2"/>
        <charset val="238"/>
      </rPr>
      <t xml:space="preserve">SVRDLO sa </t>
    </r>
    <r>
      <rPr>
        <sz val="8"/>
        <rFont val="Arial"/>
        <family val="2"/>
        <charset val="238"/>
      </rPr>
      <t xml:space="preserve">MK D 48 KD3022 HSS</t>
    </r>
  </si>
  <si>
    <r>
      <rPr>
        <sz val="10"/>
        <rFont val="Arial"/>
        <family val="2"/>
        <charset val="238"/>
      </rPr>
      <t xml:space="preserve">PNEUMATSKI UVRTAČI, </t>
    </r>
    <r>
      <rPr>
        <sz val="8"/>
        <rFont val="Arial"/>
        <family val="2"/>
        <charset val="238"/>
      </rPr>
      <t xml:space="preserve">L-M-S-56-HR-2</t>
    </r>
  </si>
  <si>
    <r>
      <rPr>
        <sz val="10"/>
        <rFont val="Arial"/>
        <family val="2"/>
        <charset val="238"/>
      </rPr>
      <t xml:space="preserve">STROJNI UREZNIK, </t>
    </r>
    <r>
      <rPr>
        <sz val="8"/>
        <rFont val="Arial"/>
        <family val="2"/>
        <charset val="238"/>
      </rPr>
      <t xml:space="preserve">M 48 DIN 371</t>
    </r>
  </si>
  <si>
    <t xml:space="preserve">DV50BKR32041M, PRIHVAT</t>
  </si>
  <si>
    <t xml:space="preserve">DV50BWD32060M, PRIHVAT</t>
  </si>
  <si>
    <r>
      <rPr>
        <sz val="10"/>
        <rFont val="Arial"/>
        <family val="2"/>
        <charset val="238"/>
      </rPr>
      <t xml:space="preserve">GLODALO-KUKURUZAR, </t>
    </r>
    <r>
      <rPr>
        <sz val="8"/>
        <rFont val="Arial"/>
        <family val="2"/>
        <charset val="238"/>
      </rPr>
      <t xml:space="preserve">D32  Z=4  MR</t>
    </r>
  </si>
  <si>
    <r>
      <rPr>
        <sz val="10"/>
        <rFont val="Arial"/>
        <family val="2"/>
        <charset val="238"/>
      </rPr>
      <t xml:space="preserve">ALAT za bušenje, </t>
    </r>
    <r>
      <rPr>
        <sz val="8"/>
        <rFont val="Arial"/>
        <family val="2"/>
        <charset val="238"/>
      </rPr>
      <t xml:space="preserve">7HTSR SVRDLO D5</t>
    </r>
  </si>
  <si>
    <r>
      <rPr>
        <sz val="10"/>
        <rFont val="Arial"/>
        <family val="2"/>
        <charset val="238"/>
      </rPr>
      <t xml:space="preserve">PRODUŽETAK, </t>
    </r>
    <r>
      <rPr>
        <sz val="8"/>
        <rFont val="Arial"/>
        <family val="2"/>
        <charset val="238"/>
      </rPr>
      <t xml:space="preserve">T74 za SVRDLO D52-</t>
    </r>
  </si>
  <si>
    <r>
      <rPr>
        <sz val="10"/>
        <rFont val="Arial"/>
        <family val="2"/>
        <charset val="238"/>
      </rPr>
      <t xml:space="preserve">UPUŠTAČ, </t>
    </r>
    <r>
      <rPr>
        <sz val="8"/>
        <rFont val="Arial"/>
        <family val="2"/>
        <charset val="238"/>
      </rPr>
      <t xml:space="preserve">60 STUP. 242</t>
    </r>
  </si>
  <si>
    <r>
      <rPr>
        <sz val="10"/>
        <rFont val="Arial"/>
        <family val="2"/>
        <charset val="238"/>
      </rPr>
      <t xml:space="preserve">UREZNIK STROJNI, </t>
    </r>
    <r>
      <rPr>
        <sz val="8"/>
        <rFont val="Arial"/>
        <family val="2"/>
        <charset val="238"/>
      </rPr>
      <t xml:space="preserve">M8, L=115/60 RE</t>
    </r>
  </si>
  <si>
    <t xml:space="preserve">SPECIJALNO SVRDLO SA IZMJ.REZ.PL</t>
  </si>
  <si>
    <r>
      <rPr>
        <sz val="10"/>
        <rFont val="Arial"/>
        <family val="2"/>
        <charset val="238"/>
      </rPr>
      <t xml:space="preserve">STEP. SVRDLO, </t>
    </r>
    <r>
      <rPr>
        <sz val="8"/>
        <rFont val="Arial"/>
        <family val="2"/>
        <charset val="238"/>
      </rPr>
      <t xml:space="preserve">T23 DUGO D69 + SKOŠE</t>
    </r>
  </si>
  <si>
    <r>
      <rPr>
        <sz val="10"/>
        <rFont val="Arial"/>
        <family val="2"/>
        <charset val="238"/>
      </rPr>
      <t xml:space="preserve">BUŠEĆA GLAVA, </t>
    </r>
    <r>
      <rPr>
        <sz val="8"/>
        <rFont val="Arial"/>
        <family val="2"/>
        <charset val="238"/>
      </rPr>
      <t xml:space="preserve">ROMICRON, D=55-</t>
    </r>
  </si>
  <si>
    <r>
      <rPr>
        <sz val="10"/>
        <rFont val="Arial"/>
        <family val="2"/>
        <charset val="238"/>
      </rPr>
      <t xml:space="preserve">PRODUŽETAK, </t>
    </r>
    <r>
      <rPr>
        <sz val="8"/>
        <rFont val="Arial"/>
        <family val="2"/>
        <charset val="238"/>
      </rPr>
      <t xml:space="preserve">ROMICRON KR32</t>
    </r>
  </si>
  <si>
    <r>
      <rPr>
        <sz val="10"/>
        <rFont val="Arial"/>
        <family val="2"/>
        <charset val="238"/>
      </rPr>
      <t xml:space="preserve">DVOSTEPENO SVRDLO, </t>
    </r>
    <r>
      <rPr>
        <sz val="8"/>
        <rFont val="Arial"/>
        <family val="2"/>
        <charset val="238"/>
      </rPr>
      <t xml:space="preserve">D14 + SKOŠ. 60 ST</t>
    </r>
  </si>
  <si>
    <r>
      <rPr>
        <sz val="10"/>
        <rFont val="Arial"/>
        <family val="2"/>
        <charset val="238"/>
      </rPr>
      <t xml:space="preserve">BUŠEĆA GLAVA, </t>
    </r>
    <r>
      <rPr>
        <sz val="8"/>
        <rFont val="Arial"/>
        <family val="2"/>
        <charset val="238"/>
      </rPr>
      <t xml:space="preserve">T71 ROMICRON D=55-</t>
    </r>
  </si>
  <si>
    <r>
      <rPr>
        <sz val="10"/>
        <rFont val="Arial"/>
        <family val="2"/>
        <charset val="238"/>
      </rPr>
      <t xml:space="preserve">STEP. SVRDLO, </t>
    </r>
    <r>
      <rPr>
        <sz val="8"/>
        <rFont val="Arial"/>
        <family val="2"/>
        <charset val="238"/>
      </rPr>
      <t xml:space="preserve">T76,77,78 D 6,8/9,00  B7</t>
    </r>
  </si>
  <si>
    <r>
      <rPr>
        <sz val="10"/>
        <rFont val="Arial"/>
        <family val="2"/>
        <charset val="238"/>
      </rPr>
      <t xml:space="preserve">GLODAĆA GLAVA, </t>
    </r>
    <r>
      <rPr>
        <sz val="8"/>
        <rFont val="Arial"/>
        <family val="2"/>
        <charset val="238"/>
      </rPr>
      <t xml:space="preserve">KSS M90 SET8</t>
    </r>
  </si>
  <si>
    <r>
      <rPr>
        <sz val="10"/>
        <rFont val="Arial"/>
        <family val="2"/>
        <charset val="238"/>
      </rPr>
      <t xml:space="preserve">GLODAĆA GLAVA, </t>
    </r>
    <r>
      <rPr>
        <sz val="8"/>
        <rFont val="Arial"/>
        <family val="2"/>
        <charset val="238"/>
      </rPr>
      <t xml:space="preserve">KSSM90 SET4</t>
    </r>
  </si>
  <si>
    <r>
      <rPr>
        <sz val="10"/>
        <rFont val="Arial"/>
        <family val="2"/>
        <charset val="238"/>
      </rPr>
      <t xml:space="preserve">GLODAĆA GLAVA, </t>
    </r>
    <r>
      <rPr>
        <sz val="8"/>
        <rFont val="Arial"/>
        <family val="2"/>
        <charset val="238"/>
      </rPr>
      <t xml:space="preserve">KSSM45 SET3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</si>
  <si>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D21 7XD KSEM 21R7W25M</t>
    </r>
  </si>
  <si>
    <r>
      <rPr>
        <sz val="10"/>
        <rFont val="Arial"/>
        <family val="2"/>
        <charset val="238"/>
      </rPr>
      <t xml:space="preserve">NASADNO GLODALO, </t>
    </r>
    <r>
      <rPr>
        <sz val="8"/>
        <rFont val="Arial"/>
        <family val="2"/>
        <charset val="238"/>
      </rPr>
      <t xml:space="preserve">D=60x60x27 Z=8</t>
    </r>
  </si>
  <si>
    <r>
      <rPr>
        <sz val="10"/>
        <rFont val="Arial"/>
        <family val="2"/>
        <charset val="238"/>
      </rPr>
      <t xml:space="preserve">SVRDLO ZA CENTRIR. </t>
    </r>
    <r>
      <rPr>
        <sz val="8"/>
        <rFont val="Arial"/>
        <family val="2"/>
        <charset val="238"/>
      </rPr>
      <t xml:space="preserve">KSEM M301R1WN3</t>
    </r>
  </si>
  <si>
    <t xml:space="preserve">NAPRAVA za tlačenje uljnog cilindra</t>
  </si>
  <si>
    <r>
      <rPr>
        <sz val="10"/>
        <rFont val="Arial"/>
        <family val="2"/>
        <charset val="238"/>
      </rPr>
      <t xml:space="preserve">NAPRAVA za savijanje, nac. </t>
    </r>
    <r>
      <rPr>
        <sz val="8"/>
        <rFont val="Arial"/>
        <family val="2"/>
        <charset val="238"/>
      </rPr>
      <t xml:space="preserve">H 3066</t>
    </r>
  </si>
  <si>
    <r>
      <rPr>
        <sz val="10"/>
        <rFont val="Arial"/>
        <family val="2"/>
        <charset val="238"/>
      </rPr>
      <t xml:space="preserve">SPECIJALNI PRIBOR, </t>
    </r>
    <r>
      <rPr>
        <sz val="8"/>
        <rFont val="Arial"/>
        <family val="2"/>
        <charset val="238"/>
      </rPr>
      <t xml:space="preserve">DV50 BWN40100 (T67)</t>
    </r>
  </si>
  <si>
    <t xml:space="preserve">NAPRAVA za tokarenje zračnog cilindra</t>
  </si>
  <si>
    <r>
      <rPr>
        <sz val="10"/>
        <rFont val="Arial"/>
        <family val="2"/>
        <charset val="238"/>
      </rPr>
      <t xml:space="preserve">NOSAČ ALATA, </t>
    </r>
    <r>
      <rPr>
        <sz val="8"/>
        <rFont val="Arial"/>
        <family val="2"/>
        <charset val="238"/>
      </rPr>
      <t xml:space="preserve">Br. nacrta AL 127</t>
    </r>
  </si>
  <si>
    <t xml:space="preserve">POSTOLJE sa valjcima za odlaganje i vođenje</t>
  </si>
  <si>
    <t xml:space="preserve">VALJCI za vođenje cijevi</t>
  </si>
  <si>
    <t xml:space="preserve">GLODALO VIŠE. NAVOJ U MK D 50 G 092</t>
  </si>
  <si>
    <r>
      <rPr>
        <sz val="10"/>
        <rFont val="Arial"/>
        <family val="2"/>
        <charset val="238"/>
      </rPr>
      <t xml:space="preserve">BRUSILICA, zračna, </t>
    </r>
    <r>
      <rPr>
        <sz val="8"/>
        <rFont val="Arial"/>
        <family val="2"/>
        <charset val="238"/>
      </rPr>
      <t xml:space="preserve">tip. PWS5/210DH</t>
    </r>
  </si>
  <si>
    <r>
      <rPr>
        <sz val="10"/>
        <rFont val="Arial"/>
        <family val="2"/>
        <charset val="238"/>
      </rPr>
      <t xml:space="preserve">BRUSILICA, zračna, </t>
    </r>
    <r>
      <rPr>
        <sz val="8"/>
        <rFont val="Arial"/>
        <family val="2"/>
        <charset val="238"/>
      </rPr>
      <t xml:space="preserve">tip. PG5/230V-D</t>
    </r>
  </si>
  <si>
    <t xml:space="preserve">KOPIRNO GLODALO M27/D32</t>
  </si>
  <si>
    <t xml:space="preserve">GLODAĆA GLAVA M690 D 125</t>
  </si>
  <si>
    <t xml:space="preserve">SVRDLO D14  7XD</t>
  </si>
  <si>
    <t xml:space="preserve">SVRDLO, TOP CUT PLUS</t>
  </si>
  <si>
    <t xml:space="preserve">STROJNI UREZNIK - ROBUST M72x6 2</t>
  </si>
  <si>
    <t xml:space="preserve">SVRDLO, KSEM180R5WN20M</t>
  </si>
  <si>
    <t xml:space="preserve">ŠABLONA, za kopirno tokarenje</t>
  </si>
  <si>
    <t xml:space="preserve">NAPRAVA za tlačenje zračno cilindra</t>
  </si>
  <si>
    <t xml:space="preserve">NAPRAVA za tlačenje ispušnog ventila</t>
  </si>
  <si>
    <t xml:space="preserve">NAPRAVA za brušenje bazne ploče D=</t>
  </si>
  <si>
    <t xml:space="preserve">NAPRAVA za tokarenje tuljka vodilice klipa</t>
  </si>
  <si>
    <t xml:space="preserve">NAPRAVA za tokar. tuljka vodil. usp. vent.</t>
  </si>
  <si>
    <r>
      <rPr>
        <sz val="10"/>
        <rFont val="Arial"/>
        <family val="2"/>
        <charset val="238"/>
      </rPr>
      <t xml:space="preserve">ŠABLONA za ocrtav. segmenta, </t>
    </r>
    <r>
      <rPr>
        <sz val="8"/>
        <rFont val="Arial"/>
        <family val="2"/>
        <charset val="238"/>
      </rPr>
      <t xml:space="preserve">5S26M</t>
    </r>
  </si>
  <si>
    <r>
      <rPr>
        <sz val="10"/>
        <rFont val="Arial"/>
        <family val="2"/>
        <charset val="238"/>
      </rPr>
      <t xml:space="preserve">NAPRAVA za glodanje segm., </t>
    </r>
    <r>
      <rPr>
        <sz val="8"/>
        <rFont val="Arial"/>
        <family val="2"/>
        <charset val="238"/>
      </rPr>
      <t xml:space="preserve">5S26MC AL12743</t>
    </r>
  </si>
  <si>
    <r>
      <rPr>
        <sz val="10"/>
        <rFont val="Arial"/>
        <family val="2"/>
        <charset val="238"/>
      </rPr>
      <t xml:space="preserve">UMETAK za nareziv. nacrt, </t>
    </r>
    <r>
      <rPr>
        <sz val="8"/>
        <rFont val="Arial"/>
        <family val="2"/>
        <charset val="238"/>
      </rPr>
      <t xml:space="preserve">AL 12706</t>
    </r>
  </si>
  <si>
    <r>
      <rPr>
        <sz val="10"/>
        <rFont val="Arial"/>
        <family val="2"/>
        <charset val="238"/>
      </rPr>
      <t xml:space="preserve">UMETAK za nareziv. Br. nacrt, </t>
    </r>
    <r>
      <rPr>
        <sz val="8"/>
        <rFont val="Arial"/>
        <family val="2"/>
        <charset val="238"/>
      </rPr>
      <t xml:space="preserve">AL 127</t>
    </r>
  </si>
  <si>
    <t xml:space="preserve">NAPRAVA, PROTUUTEG za B</t>
  </si>
  <si>
    <r>
      <rPr>
        <sz val="10"/>
        <rFont val="Arial"/>
        <family val="2"/>
        <charset val="238"/>
      </rPr>
      <t xml:space="preserve">NAPRAVA za stez. </t>
    </r>
    <r>
      <rPr>
        <sz val="8"/>
        <rFont val="Arial"/>
        <family val="2"/>
        <charset val="238"/>
      </rPr>
      <t xml:space="preserve">AL12758 B</t>
    </r>
  </si>
  <si>
    <r>
      <rPr>
        <sz val="10"/>
        <rFont val="Arial"/>
        <family val="2"/>
        <charset val="238"/>
      </rPr>
      <t xml:space="preserve">NAPRAVA za grubo </t>
    </r>
    <r>
      <rPr>
        <sz val="8"/>
        <rFont val="Arial"/>
        <family val="2"/>
        <charset val="238"/>
      </rPr>
      <t xml:space="preserve">AL 12755B 5</t>
    </r>
  </si>
  <si>
    <t xml:space="preserve">NAPRAVA za završno tokarenje, AL12757B</t>
  </si>
  <si>
    <t xml:space="preserve">OKRETNI ŠILJAK BAKROREZ 15 T</t>
  </si>
  <si>
    <t xml:space="preserve">OKRETNI ŠILJAK, ROHM</t>
  </si>
  <si>
    <t xml:space="preserve">PRODUŽETAK, L=200 mm</t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</si>
  <si>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140R10WN16M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</si>
  <si>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150R10WN20M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</si>
  <si>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220R10WN25M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</si>
  <si>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260R10WN32M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</si>
  <si>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300R10WN32M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</si>
  <si>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295R10WN32M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</si>
  <si>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HTS-C 3.75360R218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</si>
  <si>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HTS-C 3.75390R218</t>
    </r>
  </si>
  <si>
    <r>
      <rPr>
        <sz val="10"/>
        <rFont val="Arial"/>
        <family val="2"/>
        <charset val="238"/>
      </rPr>
      <t xml:space="preserve">GLAVA za bušenje, </t>
    </r>
    <r>
      <rPr>
        <sz val="8"/>
        <rFont val="Arial"/>
        <family val="2"/>
        <charset val="238"/>
      </rPr>
      <t xml:space="preserve">HTS-R 046R028M</t>
    </r>
  </si>
  <si>
    <t xml:space="preserve">SVRDLO KSEM 170R7WN20M</t>
  </si>
  <si>
    <t xml:space="preserve">SVRDLO</t>
  </si>
  <si>
    <t xml:space="preserve">GLODALO za precizno rastokarenje</t>
  </si>
  <si>
    <t xml:space="preserve">PRIHVAT DV50BHC10077M/DIN69871 B</t>
  </si>
  <si>
    <t xml:space="preserve">PRIHVAT SK50 DIN69871B 2563701800</t>
  </si>
  <si>
    <t xml:space="preserve">RAZVRTAČ CIL. POD. D 31,5- 37  A</t>
  </si>
  <si>
    <t xml:space="preserve">BUŠILICA, ručna, 1.000 W</t>
  </si>
  <si>
    <t xml:space="preserve">NAPRAVA za dizanje razvodne osovine</t>
  </si>
  <si>
    <t xml:space="preserve">ALAT za dizanje ovojnice - komplet</t>
  </si>
  <si>
    <t xml:space="preserve">ALAT za držanje šaliceu tekućem dušiku</t>
  </si>
  <si>
    <t xml:space="preserve">ALAT za dizanje stapa i stapajice</t>
  </si>
  <si>
    <t xml:space="preserve">TRN za podešavanje vodilice, tip. DMS26M</t>
  </si>
  <si>
    <t xml:space="preserve">POSTOLJE za rad na osnjaku, tip. DMS26MC</t>
  </si>
  <si>
    <t xml:space="preserve">NAPRAVA za bušenje i narezivanje</t>
  </si>
  <si>
    <t xml:space="preserve">NAPRAVA (prirubnica) za ocrtavanje</t>
  </si>
  <si>
    <t xml:space="preserve">TOPOVSKO SVRDLO, D14x315 (L=181)</t>
  </si>
  <si>
    <t xml:space="preserve">KALUP ZA SAVIJANJE CIJEVI (komplet)</t>
  </si>
  <si>
    <t xml:space="preserve">KALUP ZA SAVIJANJE</t>
  </si>
  <si>
    <t xml:space="preserve">GLODALO</t>
  </si>
  <si>
    <r>
      <rPr>
        <sz val="10"/>
        <rFont val="Arial"/>
        <family val="2"/>
        <charset val="238"/>
      </rPr>
      <t xml:space="preserve">PRIHVAT, </t>
    </r>
    <r>
      <rPr>
        <sz val="8"/>
        <rFont val="Arial"/>
        <family val="2"/>
        <charset val="238"/>
      </rPr>
      <t xml:space="preserve">DIN6987A-SK50 DV50RC3139M</t>
    </r>
  </si>
  <si>
    <t xml:space="preserve">NAPRAVA za mjerenje kuta od 15°</t>
  </si>
  <si>
    <t xml:space="preserve">NAPRAVA za stezanje lančanika napinj. lanca</t>
  </si>
  <si>
    <r>
      <rPr>
        <sz val="10"/>
        <rFont val="Arial"/>
        <family val="2"/>
        <charset val="238"/>
      </rPr>
      <t xml:space="preserve">NAPRAVA za završnu segmentaciju, </t>
    </r>
    <r>
      <rPr>
        <sz val="8"/>
        <rFont val="Arial"/>
        <family val="2"/>
        <charset val="238"/>
      </rPr>
      <t xml:space="preserve">AL12742B</t>
    </r>
  </si>
  <si>
    <t xml:space="preserve">NAPRAVA za tlač. rashl. uključ. Na</t>
  </si>
  <si>
    <t xml:space="preserve">NAPRAVA za stezanje osnjaka</t>
  </si>
  <si>
    <r>
      <rPr>
        <sz val="10"/>
        <rFont val="Arial"/>
        <family val="2"/>
        <charset val="238"/>
      </rPr>
      <t xml:space="preserve">NAPRAVA za stezanje kolj. nac. </t>
    </r>
    <r>
      <rPr>
        <sz val="8"/>
        <rFont val="Arial"/>
        <family val="2"/>
        <charset val="238"/>
      </rPr>
      <t xml:space="preserve">AL12759B</t>
    </r>
  </si>
  <si>
    <t xml:space="preserve">NAPRAVA za tlačenje, AL 12768B D</t>
  </si>
  <si>
    <t xml:space="preserve">NAPRAVA za tlačenje, AL 12766B DM</t>
  </si>
  <si>
    <r>
      <rPr>
        <sz val="10"/>
        <rFont val="Arial"/>
        <family val="2"/>
        <charset val="238"/>
      </rPr>
      <t xml:space="preserve">NASADNI STROJNI RAZVRTAČ, </t>
    </r>
    <r>
      <rPr>
        <sz val="8"/>
        <rFont val="Arial"/>
        <family val="2"/>
        <charset val="238"/>
      </rPr>
      <t xml:space="preserve">R 17062</t>
    </r>
  </si>
  <si>
    <t xml:space="preserve">UPUŠTAČ SA MK VEBA 60 ST.D.63 DIN 3</t>
  </si>
  <si>
    <t xml:space="preserve">TOPOVSKO SVRDLO, D19x465</t>
  </si>
  <si>
    <t xml:space="preserve">SPEC. GLODALO za skošenja</t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</si>
  <si>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tip. KSEM 265R10WN32M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</si>
  <si>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tip. KSEM 175R10WN20M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</si>
  <si>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tip. KSEM 181R1WN25M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</si>
  <si>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tip. KSEM 241R1WN32M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</si>
  <si>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tip. KSEM 261R1WN32M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</si>
  <si>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tip. KSEM 281R1WN32M</t>
    </r>
  </si>
  <si>
    <r>
      <rPr>
        <sz val="10"/>
        <rFont val="Arial"/>
        <family val="2"/>
        <charset val="238"/>
      </rPr>
      <t xml:space="preserve">MAGNET, </t>
    </r>
    <r>
      <rPr>
        <sz val="8"/>
        <rFont val="Arial"/>
        <family val="2"/>
        <charset val="238"/>
      </rPr>
      <t xml:space="preserve">nos. 500 kg, dim. 242x106</t>
    </r>
  </si>
  <si>
    <r>
      <rPr>
        <sz val="10"/>
        <rFont val="Arial"/>
        <family val="2"/>
        <charset val="238"/>
      </rPr>
      <t xml:space="preserve">HIRAULIČNI PRIHVAT, </t>
    </r>
    <r>
      <rPr>
        <sz val="8"/>
        <rFont val="Arial"/>
        <family val="2"/>
        <charset val="238"/>
      </rPr>
      <t xml:space="preserve">tip. DV50BHC10077M</t>
    </r>
  </si>
  <si>
    <r>
      <rPr>
        <sz val="10"/>
        <rFont val="Arial"/>
        <family val="2"/>
        <charset val="238"/>
      </rPr>
      <t xml:space="preserve">HIRAULIČNI PRIHVAT, </t>
    </r>
    <r>
      <rPr>
        <sz val="8"/>
        <rFont val="Arial"/>
        <family val="2"/>
        <charset val="238"/>
      </rPr>
      <t xml:space="preserve">tip. DV50BHC12077M</t>
    </r>
  </si>
  <si>
    <r>
      <rPr>
        <sz val="10"/>
        <rFont val="Arial"/>
        <family val="2"/>
        <charset val="238"/>
      </rPr>
      <t xml:space="preserve">HIRAULIČNI PRIHVAT, </t>
    </r>
    <r>
      <rPr>
        <sz val="8"/>
        <rFont val="Arial"/>
        <family val="2"/>
        <charset val="238"/>
      </rPr>
      <t xml:space="preserve">tip. DV50BHC20082M</t>
    </r>
  </si>
  <si>
    <r>
      <rPr>
        <sz val="10"/>
        <rFont val="Arial"/>
        <family val="2"/>
        <charset val="238"/>
      </rPr>
      <t xml:space="preserve">HIRAULIČNI PRIHVAT, </t>
    </r>
    <r>
      <rPr>
        <sz val="8"/>
        <rFont val="Arial"/>
        <family val="2"/>
        <charset val="238"/>
      </rPr>
      <t xml:space="preserve">tip. DV50BHC08072M</t>
    </r>
  </si>
  <si>
    <r>
      <rPr>
        <sz val="10"/>
        <rFont val="Arial"/>
        <family val="2"/>
        <charset val="238"/>
      </rPr>
      <t xml:space="preserve">ALAT za izradu utora nac. </t>
    </r>
    <r>
      <rPr>
        <sz val="8"/>
        <rFont val="Arial"/>
        <family val="2"/>
        <charset val="238"/>
      </rPr>
      <t xml:space="preserve">AL 12770 B</t>
    </r>
  </si>
  <si>
    <r>
      <rPr>
        <sz val="10"/>
        <rFont val="Arial"/>
        <family val="2"/>
        <charset val="238"/>
      </rPr>
      <t xml:space="preserve">ALAT za izradu utora nac. </t>
    </r>
    <r>
      <rPr>
        <sz val="8"/>
        <rFont val="Arial"/>
        <family val="2"/>
        <charset val="238"/>
      </rPr>
      <t xml:space="preserve">AL 12769 B</t>
    </r>
  </si>
  <si>
    <r>
      <rPr>
        <sz val="10"/>
        <rFont val="Arial"/>
        <family val="2"/>
        <charset val="238"/>
      </rPr>
      <t xml:space="preserve">ALAT za obradu, </t>
    </r>
    <r>
      <rPr>
        <sz val="8"/>
        <rFont val="Arial"/>
        <family val="2"/>
        <charset val="238"/>
      </rPr>
      <t xml:space="preserve">AL 12771B</t>
    </r>
  </si>
  <si>
    <r>
      <rPr>
        <sz val="10"/>
        <rFont val="Arial"/>
        <family val="2"/>
        <charset val="238"/>
      </rPr>
      <t xml:space="preserve">NAPRAVA za dizanje nac. </t>
    </r>
    <r>
      <rPr>
        <sz val="8"/>
        <rFont val="Arial"/>
        <family val="2"/>
        <charset val="238"/>
      </rPr>
      <t xml:space="preserve">M 759-B</t>
    </r>
  </si>
  <si>
    <t xml:space="preserve">NAPRAVA za ispitivanje nosivosti</t>
  </si>
  <si>
    <r>
      <rPr>
        <sz val="10"/>
        <rFont val="Arial"/>
        <family val="2"/>
        <charset val="238"/>
      </rPr>
      <t xml:space="preserve">NAPRAVA za bušenje nac. </t>
    </r>
    <r>
      <rPr>
        <sz val="8"/>
        <rFont val="Arial"/>
        <family val="2"/>
        <charset val="238"/>
      </rPr>
      <t xml:space="preserve">AL 12767 C</t>
    </r>
  </si>
  <si>
    <t xml:space="preserve">DIZALICA, ručna, nos. 1,5 T (parank)</t>
  </si>
  <si>
    <t xml:space="preserve">DRŽAČ noža i glodala, DIN 20</t>
  </si>
  <si>
    <t xml:space="preserve">NAPRAVA za završno tokarenje</t>
  </si>
  <si>
    <r>
      <rPr>
        <sz val="10"/>
        <rFont val="Arial"/>
        <family val="2"/>
        <charset val="238"/>
      </rPr>
      <t xml:space="preserve">NAPRAVA za kontrolu kuta, </t>
    </r>
    <r>
      <rPr>
        <sz val="8"/>
        <rFont val="Arial"/>
        <family val="2"/>
        <charset val="238"/>
      </rPr>
      <t xml:space="preserve">15/15 STUP</t>
    </r>
  </si>
  <si>
    <t xml:space="preserve">KALUP za lijevanje bijele kovine</t>
  </si>
  <si>
    <r>
      <rPr>
        <sz val="10"/>
        <rFont val="Arial"/>
        <family val="2"/>
        <charset val="238"/>
      </rPr>
      <t xml:space="preserve">PROTUUTEG za bruš. osnjaka-</t>
    </r>
    <r>
      <rPr>
        <sz val="8"/>
        <rFont val="Arial"/>
        <family val="2"/>
        <charset val="238"/>
      </rPr>
      <t xml:space="preserve">S46MC-C</t>
    </r>
  </si>
  <si>
    <t xml:space="preserve">NAPRAVA za glodanje segmenata</t>
  </si>
  <si>
    <t xml:space="preserve">DIJELOVI NAPRAVE za bušilicu i frezu</t>
  </si>
  <si>
    <t xml:space="preserve">PLOČA za podešavanje</t>
  </si>
  <si>
    <t xml:space="preserve">POSTOLJE za rad na križnoj glavi</t>
  </si>
  <si>
    <t xml:space="preserve">NOSAČ GLODALA</t>
  </si>
  <si>
    <t xml:space="preserve">PODUPIRAČ nosača glodala</t>
  </si>
  <si>
    <r>
      <rPr>
        <sz val="10"/>
        <rFont val="Arial"/>
        <family val="2"/>
        <charset val="238"/>
      </rPr>
      <t xml:space="preserve">PODUPIRAČ trna za, </t>
    </r>
    <r>
      <rPr>
        <sz val="8"/>
        <rFont val="Arial"/>
        <family val="2"/>
        <charset val="238"/>
      </rPr>
      <t xml:space="preserve">M 7518</t>
    </r>
  </si>
  <si>
    <r>
      <rPr>
        <sz val="10"/>
        <rFont val="Arial"/>
        <family val="2"/>
        <charset val="238"/>
      </rPr>
      <t xml:space="preserve">SVRDLO, spiralno, </t>
    </r>
    <r>
      <rPr>
        <sz val="8"/>
        <rFont val="Arial"/>
        <family val="2"/>
        <charset val="238"/>
      </rPr>
      <t xml:space="preserve">MK  FI 63,00x800/5</t>
    </r>
  </si>
  <si>
    <t xml:space="preserve">ČAHURA za prihvat ureznika</t>
  </si>
  <si>
    <r>
      <rPr>
        <sz val="10"/>
        <rFont val="Arial"/>
        <family val="2"/>
        <charset val="238"/>
      </rPr>
      <t xml:space="preserve">TRN za prihvat, </t>
    </r>
    <r>
      <rPr>
        <sz val="8"/>
        <rFont val="Arial"/>
        <family val="2"/>
        <charset val="238"/>
      </rPr>
      <t xml:space="preserve">SK50/DIN2080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</si>
  <si>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265R10WN32M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</si>
  <si>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180R10WN20M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</si>
  <si>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200R10WN25M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</si>
  <si>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250R10WN32M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</si>
  <si>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HTS-C 3.75440R215</t>
    </r>
  </si>
  <si>
    <r>
      <rPr>
        <sz val="10"/>
        <rFont val="Arial"/>
        <family val="2"/>
        <charset val="238"/>
      </rPr>
      <t xml:space="preserve">GLAVA za glodanje, </t>
    </r>
    <r>
      <rPr>
        <sz val="8"/>
        <rFont val="Arial"/>
        <family val="2"/>
        <charset val="238"/>
      </rPr>
      <t xml:space="preserve">tip. R200-080Q32-20M</t>
    </r>
  </si>
  <si>
    <r>
      <rPr>
        <sz val="10"/>
        <rFont val="Arial"/>
        <family val="2"/>
        <charset val="238"/>
      </rPr>
      <t xml:space="preserve">HIDRAULIČKI PRIHVAT, </t>
    </r>
    <r>
      <rPr>
        <sz val="8"/>
        <rFont val="Arial"/>
        <family val="2"/>
        <charset val="238"/>
      </rPr>
      <t xml:space="preserve">DV50BHC25117M</t>
    </r>
  </si>
  <si>
    <r>
      <rPr>
        <sz val="10"/>
        <rFont val="Arial"/>
        <family val="2"/>
        <charset val="238"/>
      </rPr>
      <t xml:space="preserve">HIDRAULIČNI PRIHVAT, </t>
    </r>
    <r>
      <rPr>
        <sz val="8"/>
        <rFont val="Arial"/>
        <family val="2"/>
        <charset val="238"/>
      </rPr>
      <t xml:space="preserve">DV50BHC32113M</t>
    </r>
  </si>
  <si>
    <r>
      <rPr>
        <sz val="10"/>
        <rFont val="Arial"/>
        <family val="2"/>
        <charset val="238"/>
      </rPr>
      <t xml:space="preserve">HIDRAUL. PRIHVAT, </t>
    </r>
    <r>
      <rPr>
        <sz val="8"/>
        <rFont val="Arial"/>
        <family val="2"/>
        <charset val="238"/>
      </rPr>
      <t xml:space="preserve">DV50BHC060702M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</si>
  <si>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tip. DFT620RWD50M</t>
    </r>
  </si>
  <si>
    <t xml:space="preserve">MIKROMETAR za vanjsko mjerenje</t>
  </si>
  <si>
    <t xml:space="preserve">GLAVA za tokarenje, 43-54 mm</t>
  </si>
  <si>
    <t xml:space="preserve">ELEKTR. ŠKARE za lim</t>
  </si>
  <si>
    <t xml:space="preserve">KONTEJNER za strugotinu</t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</si>
  <si>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KSEM225 R7WN25</t>
    </r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</si>
  <si>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160R10WN20M</t>
    </r>
  </si>
  <si>
    <t xml:space="preserve">NAPRAVA za obradu kućišta ispušnih ventila</t>
  </si>
  <si>
    <t xml:space="preserve">UMETAK za mjerenje navoja sa valjcima</t>
  </si>
  <si>
    <t xml:space="preserve">ORMAR, radionički za prihvat trnova</t>
  </si>
  <si>
    <t xml:space="preserve">GLAVA za tokarenje, 100-130 mm</t>
  </si>
  <si>
    <r>
      <rPr>
        <sz val="10"/>
        <rFont val="Arial"/>
        <family val="2"/>
        <charset val="238"/>
      </rPr>
      <t xml:space="preserve">GLODALO za skošenje 60</t>
    </r>
    <r>
      <rPr>
        <sz val="10"/>
        <rFont val="Calibri"/>
        <family val="2"/>
        <charset val="238"/>
      </rPr>
      <t xml:space="preserve">⁰</t>
    </r>
  </si>
  <si>
    <t xml:space="preserve">STEZNA ČAHURA-set</t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</si>
  <si>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175R10WN20M</t>
    </r>
  </si>
  <si>
    <t xml:space="preserve">SVRDLO, HTS-C 3.75360R218</t>
  </si>
  <si>
    <t xml:space="preserve">BUŠEĆA GLAVA  D 58-63 mm</t>
  </si>
  <si>
    <t xml:space="preserve">PIŠTOLJ NA ZRAK ZA STEZANJE</t>
  </si>
  <si>
    <t xml:space="preserve">GLODALO, F2260.B.315.Z14.15</t>
  </si>
  <si>
    <t xml:space="preserve">GLODALO, F2280.B.125.Z08.04</t>
  </si>
  <si>
    <t xml:space="preserve">SVRDLO, MK PRODUŽ.</t>
  </si>
  <si>
    <t xml:space="preserve">BRUSILICA, ravna, IR G2x250PG4M</t>
  </si>
  <si>
    <t xml:space="preserve">BRUSILICA, kutna, IR G3A120PP95</t>
  </si>
  <si>
    <t xml:space="preserve">NOSAČ PLOČICA - FINI RAD</t>
  </si>
  <si>
    <r>
      <rPr>
        <sz val="10"/>
        <rFont val="Arial"/>
        <family val="2"/>
        <charset val="238"/>
      </rPr>
      <t xml:space="preserve">GLODALO, </t>
    </r>
    <r>
      <rPr>
        <sz val="8"/>
        <rFont val="Arial"/>
        <family val="2"/>
        <charset val="238"/>
      </rPr>
      <t xml:space="preserve">F2010.B.250.Z16.04.R592M</t>
    </r>
  </si>
  <si>
    <t xml:space="preserve">NAPRAVA za bušenje</t>
  </si>
  <si>
    <t xml:space="preserve">CILINDAR, hidraulički</t>
  </si>
  <si>
    <t xml:space="preserve">CRPKA, hidraulična, 1-radna</t>
  </si>
  <si>
    <t xml:space="preserve">UREZNIK STROJNI</t>
  </si>
  <si>
    <t xml:space="preserve">BRUSILICA, ravna, IR G2X250PG4M</t>
  </si>
  <si>
    <t xml:space="preserve">PLOČASTO GLODALO, D=75</t>
  </si>
  <si>
    <t xml:space="preserve">UREZNICI</t>
  </si>
  <si>
    <t xml:space="preserve">GLAVA ZA FINI RAD, D=50-65,5 mm</t>
  </si>
  <si>
    <t xml:space="preserve">UREZNIK STROJNI, M 64x6, robust</t>
  </si>
  <si>
    <t xml:space="preserve">PRIHVAT ZA ME1664479</t>
  </si>
  <si>
    <t xml:space="preserve">SVRDLO, MK</t>
  </si>
  <si>
    <r>
      <rPr>
        <sz val="10"/>
        <rFont val="Arial"/>
        <family val="2"/>
        <charset val="238"/>
      </rPr>
      <t xml:space="preserve">MODEL POKL. I MOD. ODST. </t>
    </r>
    <r>
      <rPr>
        <sz val="8"/>
        <rFont val="Arial"/>
        <family val="2"/>
        <charset val="238"/>
      </rPr>
      <t xml:space="preserve">(PN.210063)</t>
    </r>
  </si>
  <si>
    <t xml:space="preserve">GLODALO, HSS-E sa MK</t>
  </si>
  <si>
    <t xml:space="preserve">NAPRAVA za bušenje kosih rupa, 2x2xF</t>
  </si>
  <si>
    <t xml:space="preserve">SVRDLO KSEM 265R5WN32M</t>
  </si>
  <si>
    <t xml:space="preserve">GLODALO HSS-E SA MK</t>
  </si>
  <si>
    <t xml:space="preserve">SVRDLO MULTIPLEX</t>
  </si>
  <si>
    <t xml:space="preserve">GLODALO, F2010.B.250.Z16.04.R592M</t>
  </si>
  <si>
    <t xml:space="preserve">SVRDLO KSEM 260R10WN32M</t>
  </si>
  <si>
    <t xml:space="preserve">MIKROMETAR ŠTAPNI-unutarnji navoj</t>
  </si>
  <si>
    <t xml:space="preserve">MAGNET, nos. 1000 kg</t>
  </si>
  <si>
    <t xml:space="preserve">GLAVA ZA FINI RAD D=65-83 mm</t>
  </si>
  <si>
    <t xml:space="preserve">SVRDLO, KSEM 320R13WN32M</t>
  </si>
  <si>
    <t xml:space="preserve">UREZNIK STROJNI, M52 robust 2X-</t>
  </si>
  <si>
    <t xml:space="preserve">ŠILJAK OKRETNI</t>
  </si>
  <si>
    <t xml:space="preserve">GLODALO F2010.B.400.Z22.19.R694M</t>
  </si>
  <si>
    <t xml:space="preserve">NOSAČ hidraulična naprava</t>
  </si>
  <si>
    <t xml:space="preserve">GLODALO-KUKURUZAR</t>
  </si>
  <si>
    <r>
      <rPr>
        <sz val="10"/>
        <rFont val="Arial"/>
        <family val="2"/>
        <charset val="238"/>
      </rPr>
      <t xml:space="preserve">GLODALO, </t>
    </r>
    <r>
      <rPr>
        <sz val="8"/>
        <rFont val="Arial"/>
        <family val="2"/>
        <charset val="238"/>
      </rPr>
      <t xml:space="preserve">F2010.B.355.Z20.13.FR442M</t>
    </r>
  </si>
  <si>
    <t xml:space="preserve">PRODUŽETAK za multiplex svrdla</t>
  </si>
  <si>
    <t xml:space="preserve">SVRDLO MULTIPLEX, specijalno</t>
  </si>
  <si>
    <t xml:space="preserve">BUŠILICA sa magnetskim postoljem</t>
  </si>
  <si>
    <t xml:space="preserve">UREZNIK, strojni</t>
  </si>
  <si>
    <t xml:space="preserve">GLAVA za grubo istokarivanje</t>
  </si>
  <si>
    <t xml:space="preserve">NAPRAVA za tokarenje</t>
  </si>
  <si>
    <t xml:space="preserve">PRIHVAT sa prstenom za hlađenje</t>
  </si>
  <si>
    <t xml:space="preserve">ŠABLONA za tokarenje</t>
  </si>
  <si>
    <t xml:space="preserve">NAPRAVA-ŠABLONA za ocrtavanje</t>
  </si>
  <si>
    <t xml:space="preserve">KALUP za lijevanje gume</t>
  </si>
  <si>
    <t xml:space="preserve">NAPRAVA za tlačenje rashladnog OKUČ.</t>
  </si>
  <si>
    <t xml:space="preserve">HVATALJKA za lim</t>
  </si>
  <si>
    <t xml:space="preserve">GLODAĆA GLAVA, M 900, D=200,B1</t>
  </si>
  <si>
    <t xml:space="preserve">NAPRAVA za dizanje ojnice i križne glave</t>
  </si>
  <si>
    <t xml:space="preserve">ZRAČNI PIŠTOLJ za šljaku</t>
  </si>
  <si>
    <t xml:space="preserve">PRIHVAT - SPECIJALA</t>
  </si>
  <si>
    <t xml:space="preserve">NAPRAVA-POSTOLJE za rad na stapu</t>
  </si>
  <si>
    <t xml:space="preserve">NAPRAVA za dizanje kućišta cilindra</t>
  </si>
  <si>
    <t xml:space="preserve">NAPRAVA - LAŽNA OSOVINA</t>
  </si>
  <si>
    <t xml:space="preserve">GLODALO, cilindrično, D 20</t>
  </si>
  <si>
    <t xml:space="preserve">GLODALO, D 32</t>
  </si>
  <si>
    <t xml:space="preserve">BRUSILICA, zračna</t>
  </si>
  <si>
    <t xml:space="preserve">APARAT za ravnanjem plinom</t>
  </si>
  <si>
    <t xml:space="preserve">STEZAČ UDARNI</t>
  </si>
  <si>
    <t xml:space="preserve">ŠILJAK, okretni</t>
  </si>
  <si>
    <t xml:space="preserve">GLODALO, F2252.B.315.Z10.19  FR689/F</t>
  </si>
  <si>
    <t xml:space="preserve">UREZNIK KRUNASTI</t>
  </si>
  <si>
    <t xml:space="preserve">DRŽAČ UREZNIKA NORIS</t>
  </si>
  <si>
    <t xml:space="preserve">KLIJEŠTA ZA ŽLJEBLJENJE</t>
  </si>
  <si>
    <t xml:space="preserve">KRUŽNA PILA, SEGMENTNA D=1100</t>
  </si>
  <si>
    <t xml:space="preserve">CRPKA POTOPNA (kaljužna)</t>
  </si>
  <si>
    <t xml:space="preserve">SET UMETAKA za mjerenje navoja valj.</t>
  </si>
  <si>
    <t xml:space="preserve">CRPKA VISOKOTLAČNA, pneumat-hidraul.</t>
  </si>
  <si>
    <t xml:space="preserve">SVRDLO MULTIPLEX SPECIJALNO</t>
  </si>
  <si>
    <t xml:space="preserve">DALJINOMJER LASERSKI  BOSCH DLE50</t>
  </si>
  <si>
    <t xml:space="preserve">GORIONIK (strojni rezač) HARRIS</t>
  </si>
  <si>
    <t xml:space="preserve">APARAT ZA RAVNANJE PLINOM ACETILENO</t>
  </si>
  <si>
    <t xml:space="preserve">GLODALO za glodanje skošenja 14°</t>
  </si>
  <si>
    <t xml:space="preserve">GORIONIK PLINSKI-KOMPLET RAVNI</t>
  </si>
  <si>
    <t xml:space="preserve">APARAT ZA RAVNANJE PLINOM</t>
  </si>
  <si>
    <t xml:space="preserve">SVRDLO, KSEM 320R3WN32M</t>
  </si>
  <si>
    <t xml:space="preserve">BRUSILICA zračna, kutna</t>
  </si>
  <si>
    <t xml:space="preserve">SPECIJALNO SVRDLO  T5/T6</t>
  </si>
  <si>
    <t xml:space="preserve">UREZNIK, strujni</t>
  </si>
  <si>
    <t xml:space="preserve">NAPRAVA za bušenje i namještanje</t>
  </si>
  <si>
    <t xml:space="preserve">NAPRAVA za tokarenje provrta, D=250 </t>
  </si>
  <si>
    <t xml:space="preserve">NAPRAVA za namještanje vod. Kotačić</t>
  </si>
  <si>
    <t xml:space="preserve">ALAT za nivelaciju temeljne ploče</t>
  </si>
  <si>
    <t xml:space="preserve">ČAHURE STEZNE (SET ER32; D=3 - 20 M</t>
  </si>
  <si>
    <t xml:space="preserve">LINETA ČVRSTA</t>
  </si>
  <si>
    <t xml:space="preserve">NAPRAVA-PRIZMA za glavni klin</t>
  </si>
  <si>
    <t xml:space="preserve">KRUŽNA PILA segmentna</t>
  </si>
  <si>
    <t xml:space="preserve">NAPRAVA-PRIZMA za obradu košuljice</t>
  </si>
  <si>
    <t xml:space="preserve">SONDA ULTRAZVUČNA MWB-45-4E</t>
  </si>
  <si>
    <t xml:space="preserve">SONDA ULTRAZVUČNA MWB-60-4E</t>
  </si>
  <si>
    <t xml:space="preserve">SONDA ULTRAZVUČNA N-23</t>
  </si>
  <si>
    <t xml:space="preserve">SONDA ULTRAZVUČNA MWB-80-4E</t>
  </si>
  <si>
    <t xml:space="preserve">SONDA ULTRAZVUČNA K5K</t>
  </si>
  <si>
    <t xml:space="preserve">SONDA ULTRAZVUČNA MWB-70-4E</t>
  </si>
  <si>
    <t xml:space="preserve">GLODALO, F2010. B. 250. Z16. 15. R719M</t>
  </si>
  <si>
    <t xml:space="preserve">APARAT za ravnanje plinom</t>
  </si>
  <si>
    <t xml:space="preserve">PRSTEN za vođenje stapa</t>
  </si>
  <si>
    <t xml:space="preserve">OTVARAČ stapnih prstenova</t>
  </si>
  <si>
    <t xml:space="preserve">ALAT za dizanje košuljice cilindra</t>
  </si>
  <si>
    <t xml:space="preserve">NAPRAVA za koso dizanje stapa</t>
  </si>
  <si>
    <t xml:space="preserve">HIDRAULIČNA NAPRAVA za križnu glavu</t>
  </si>
  <si>
    <t xml:space="preserve">ALAT za dizanje koljenaste osovine</t>
  </si>
  <si>
    <t xml:space="preserve">HIDRAUL. NAPRAVA za glavni ležaj</t>
  </si>
  <si>
    <t xml:space="preserve">HID. NAPRAVA za segment stopera</t>
  </si>
  <si>
    <t xml:space="preserve">HID. NAPRAVA za lančanik koljenaste</t>
  </si>
  <si>
    <t xml:space="preserve">HID. NAP. za dizanje razvodne osovine</t>
  </si>
  <si>
    <t xml:space="preserve">HID. NAPRAVA za ispušni ventil</t>
  </si>
  <si>
    <t xml:space="preserve">HIDRAULIČKI ALAT za glavu cilindra</t>
  </si>
  <si>
    <r>
      <rPr>
        <sz val="10"/>
        <rFont val="Arial"/>
        <family val="2"/>
        <charset val="238"/>
      </rPr>
      <t xml:space="preserve">HIDRAULIČKA NAPRAVA, </t>
    </r>
    <r>
      <rPr>
        <sz val="8"/>
        <rFont val="Arial"/>
        <family val="2"/>
        <charset val="238"/>
      </rPr>
      <t xml:space="preserve">M27x3</t>
    </r>
  </si>
  <si>
    <t xml:space="preserve">HIDR. NAPRAVA za kotvene vijke</t>
  </si>
  <si>
    <t xml:space="preserve">DISTRIBUCIONI BLOK</t>
  </si>
  <si>
    <t xml:space="preserve">MJERILO za koljenastu osovinu</t>
  </si>
  <si>
    <t xml:space="preserve">HIDRAULIČKA NAPRAVA</t>
  </si>
  <si>
    <t xml:space="preserve">NAPRAVA za izvlačenje stapa</t>
  </si>
  <si>
    <t xml:space="preserve">GLODALO, F2010.B.315.Z18.04  R592M</t>
  </si>
  <si>
    <r>
      <rPr>
        <sz val="10"/>
        <rFont val="Arial"/>
        <family val="2"/>
        <charset val="238"/>
      </rPr>
      <t xml:space="preserve">ALAT ZA HONOVANJE - </t>
    </r>
    <r>
      <rPr>
        <sz val="8"/>
        <rFont val="Arial"/>
        <family val="2"/>
        <charset val="238"/>
      </rPr>
      <t xml:space="preserve">TIJELO NOSAČA</t>
    </r>
  </si>
  <si>
    <r>
      <rPr>
        <sz val="10"/>
        <rFont val="Arial"/>
        <family val="2"/>
        <charset val="238"/>
      </rPr>
      <t xml:space="preserve">ALAT ZA HONOVANJE - </t>
    </r>
    <r>
      <rPr>
        <sz val="8"/>
        <rFont val="Arial"/>
        <family val="2"/>
        <charset val="238"/>
      </rPr>
      <t xml:space="preserve">PODEŠAVAJUĆI NO</t>
    </r>
  </si>
  <si>
    <t xml:space="preserve">HID. NAPRAVA za vijke prigušivača ventila</t>
  </si>
  <si>
    <r>
      <rPr>
        <sz val="10"/>
        <rFont val="Arial"/>
        <family val="2"/>
        <charset val="238"/>
      </rPr>
      <t xml:space="preserve">HIDRAULIČNA NAPRAVA, </t>
    </r>
    <r>
      <rPr>
        <sz val="8"/>
        <rFont val="Arial"/>
        <family val="2"/>
        <charset val="238"/>
      </rPr>
      <t xml:space="preserve">M42x4,5-GLAVA C</t>
    </r>
  </si>
  <si>
    <t xml:space="preserve">NAPRAVA za otvaranje stapnih prstena</t>
  </si>
  <si>
    <t xml:space="preserve">ALAT za dizanje stapa</t>
  </si>
  <si>
    <r>
      <rPr>
        <sz val="10"/>
        <rFont val="Arial"/>
        <family val="2"/>
        <charset val="238"/>
      </rPr>
      <t xml:space="preserve">HIDRAULIČKA NAPRAVA </t>
    </r>
    <r>
      <rPr>
        <sz val="8"/>
        <rFont val="Arial"/>
        <family val="2"/>
        <charset val="238"/>
      </rPr>
      <t xml:space="preserve">M52x5 - OJNICA</t>
    </r>
  </si>
  <si>
    <t xml:space="preserve">HIDRAUL. NAPRAVA za vijke temeljnog ležišta</t>
  </si>
  <si>
    <t xml:space="preserve">HIDRAUL. NAPRAVA za kotvene vijke</t>
  </si>
  <si>
    <t xml:space="preserve">HIDRAUL. NAPRAVA za temeljne vijke</t>
  </si>
  <si>
    <t xml:space="preserve">PRIHVAT, VDI80/KM80</t>
  </si>
  <si>
    <t xml:space="preserve">PRODUŽETAK - KM</t>
  </si>
  <si>
    <t xml:space="preserve">GLAVA za fino istokarivanje</t>
  </si>
  <si>
    <t xml:space="preserve">GLODALO za glodanje skošenja 22,5°</t>
  </si>
  <si>
    <t xml:space="preserve">UREZNIK STROJNI KRUNASTI   M 60</t>
  </si>
  <si>
    <t xml:space="preserve">GLODALO VIŠEREZNO</t>
  </si>
  <si>
    <t xml:space="preserve">OSNOVNI NOSAČ sa prizmom</t>
  </si>
  <si>
    <t xml:space="preserve">UPUŠTAČ</t>
  </si>
  <si>
    <t xml:space="preserve">BUŠILICA, baterijska</t>
  </si>
  <si>
    <t xml:space="preserve">OBILJEŽIVAČ, ručni</t>
  </si>
  <si>
    <t xml:space="preserve">SENZOR SA TICALOM RENISHAW</t>
  </si>
  <si>
    <t xml:space="preserve">OŠTRILICA SVRDLA, tip. GS-43</t>
  </si>
  <si>
    <t xml:space="preserve">GLODAĆA GLAVA</t>
  </si>
  <si>
    <t xml:space="preserve">USISAVAČ, NILFISK AERO 20-01</t>
  </si>
  <si>
    <t xml:space="preserve">SVJETILJKA UV</t>
  </si>
  <si>
    <t xml:space="preserve">KRUŽNA PILA, segmentna</t>
  </si>
  <si>
    <t xml:space="preserve">ETALON za ispitivanje penetrantima</t>
  </si>
  <si>
    <t xml:space="preserve">ETALON za ispitivanje magnetofluksom</t>
  </si>
  <si>
    <t xml:space="preserve">GLODAĆA GLAVA, D=400 mm</t>
  </si>
  <si>
    <r>
      <rPr>
        <sz val="10"/>
        <rFont val="Arial"/>
        <family val="2"/>
        <charset val="238"/>
      </rPr>
      <t xml:space="preserve">UREĐAJ </t>
    </r>
    <r>
      <rPr>
        <sz val="9"/>
        <rFont val="Arial"/>
        <family val="2"/>
        <charset val="238"/>
      </rPr>
      <t xml:space="preserve">za bažd. mjer. instr., </t>
    </r>
    <r>
      <rPr>
        <sz val="8"/>
        <rFont val="Arial"/>
        <family val="2"/>
        <charset val="238"/>
      </rPr>
      <t xml:space="preserve">tip. Horizon H200, pr. Trimos</t>
    </r>
  </si>
  <si>
    <t xml:space="preserve">HIDRAULIČKI ALAT za motor, 8S35ME-B</t>
  </si>
  <si>
    <r>
      <rPr>
        <sz val="10"/>
        <rFont val="Arial"/>
        <family val="2"/>
        <charset val="238"/>
      </rPr>
      <t xml:space="preserve">MAGNET PERMANENTNI RUČNI  </t>
    </r>
    <r>
      <rPr>
        <sz val="8"/>
        <rFont val="Arial"/>
        <family val="2"/>
        <charset val="238"/>
      </rPr>
      <t xml:space="preserve">(jaram)</t>
    </r>
  </si>
  <si>
    <t xml:space="preserve">MOBILNA JEDINICA za magnetno ispitivanje</t>
  </si>
  <si>
    <r>
      <rPr>
        <sz val="10"/>
        <rFont val="Arial"/>
        <family val="2"/>
        <charset val="238"/>
      </rPr>
      <t xml:space="preserve">ELEKTROMAGNET RUČNI  </t>
    </r>
    <r>
      <rPr>
        <sz val="8"/>
        <rFont val="Arial"/>
        <family val="2"/>
        <charset val="238"/>
      </rPr>
      <t xml:space="preserve">(jaram)</t>
    </r>
  </si>
  <si>
    <t xml:space="preserve">ENDOSKOP</t>
  </si>
  <si>
    <r>
      <rPr>
        <sz val="10"/>
        <rFont val="Arial"/>
        <family val="2"/>
        <charset val="238"/>
      </rPr>
      <t xml:space="preserve">OŠTRILICA SVRDLA, </t>
    </r>
    <r>
      <rPr>
        <sz val="9"/>
        <rFont val="Arial"/>
        <family val="2"/>
        <charset val="238"/>
      </rPr>
      <t xml:space="preserve">tip. GS-25</t>
    </r>
  </si>
  <si>
    <r>
      <rPr>
        <sz val="10"/>
        <rFont val="Arial"/>
        <family val="2"/>
        <charset val="238"/>
      </rPr>
      <t xml:space="preserve">METEO INSTRUMENT, </t>
    </r>
    <r>
      <rPr>
        <sz val="8"/>
        <rFont val="Arial"/>
        <family val="2"/>
        <charset val="238"/>
      </rPr>
      <t xml:space="preserve">ELCOMETER 319</t>
    </r>
  </si>
  <si>
    <t xml:space="preserve">UREĐAJ, ručni, za igličasto označavanje</t>
  </si>
  <si>
    <t xml:space="preserve">GLODAĆA GLAVA D=200 mm</t>
  </si>
  <si>
    <t xml:space="preserve">ELEKTROMAGNET RUČNI  (jaram)</t>
  </si>
  <si>
    <t xml:space="preserve">GLAVA, za fino istokarivanje</t>
  </si>
  <si>
    <t xml:space="preserve">CRPKA, visokotlačna, pneumatsko-hidraul.</t>
  </si>
  <si>
    <t xml:space="preserve">MAGNETOMETAR sa sondom</t>
  </si>
  <si>
    <r>
      <rPr>
        <sz val="10"/>
        <rFont val="Arial"/>
        <family val="2"/>
        <charset val="238"/>
      </rPr>
      <t xml:space="preserve">LUXMETAR - </t>
    </r>
    <r>
      <rPr>
        <sz val="8"/>
        <rFont val="Arial"/>
        <family val="2"/>
        <charset val="238"/>
      </rPr>
      <t xml:space="preserve">LABINO METER SET STANDAR</t>
    </r>
  </si>
  <si>
    <t xml:space="preserve">SVRDLO, KSEM 210R10WN25M</t>
  </si>
  <si>
    <t xml:space="preserve">MJERAČ tvrdoće</t>
  </si>
  <si>
    <t xml:space="preserve">BRUSILICA ZRAČNA</t>
  </si>
  <si>
    <t xml:space="preserve">MODEL za motor, 8S60ME-C8, zamašnjak</t>
  </si>
  <si>
    <t xml:space="preserve">MODEL za poklopac ležaja i križne glave</t>
  </si>
  <si>
    <t xml:space="preserve">MODEL za rashladno okučje</t>
  </si>
  <si>
    <t xml:space="preserve">MODEL za cilindar zraka</t>
  </si>
  <si>
    <t xml:space="preserve">MODEL za uljni cilindar</t>
  </si>
  <si>
    <t xml:space="preserve">GLODALO, F2234.B.125.Z07.10</t>
  </si>
  <si>
    <t xml:space="preserve">NAPRAVA za brušenje</t>
  </si>
  <si>
    <r>
      <rPr>
        <sz val="10"/>
        <rFont val="Arial"/>
        <family val="2"/>
        <charset val="238"/>
      </rPr>
      <t xml:space="preserve">SVRDLO, </t>
    </r>
    <r>
      <rPr>
        <sz val="8"/>
        <rFont val="Arial"/>
        <family val="2"/>
        <charset val="238"/>
      </rPr>
      <t xml:space="preserve">KSEM 210R10WN25M</t>
    </r>
  </si>
  <si>
    <t xml:space="preserve">OTPRAŠIVAČ, pokretni</t>
  </si>
  <si>
    <t xml:space="preserve">ČEKIĆ ZRAČNI</t>
  </si>
  <si>
    <t xml:space="preserve">SJEKAČ, PNEUMATSKI za čišćenje</t>
  </si>
  <si>
    <t xml:space="preserve">GLAVA GLODAĆA</t>
  </si>
  <si>
    <t xml:space="preserve">NAPRAVA za obradu odrivnog prstena</t>
  </si>
  <si>
    <t xml:space="preserve">NAPRAVA-postolje kočnice, Zollner</t>
  </si>
  <si>
    <t xml:space="preserve">NAPRAVA-produženje postolja za montažu</t>
  </si>
  <si>
    <t xml:space="preserve">NAPRAVA-UŠKE za dizanje 8700 kg</t>
  </si>
  <si>
    <t xml:space="preserve">PRIZMA KONTROLNA</t>
  </si>
  <si>
    <t xml:space="preserve">ŠABLONA za kopirno tokarenje</t>
  </si>
  <si>
    <t xml:space="preserve">NAPRAVA za ojnice i križne glave</t>
  </si>
  <si>
    <t xml:space="preserve">NAPRAVA za temeljnu ploču</t>
  </si>
  <si>
    <t xml:space="preserve">NAPRAVA za bušenje i glodanje</t>
  </si>
  <si>
    <t xml:space="preserve">NAPRAVA za tlačenje rashladnog okuč.</t>
  </si>
  <si>
    <t xml:space="preserve">NAPRAVA-TULJAK ZA LJEVANJE B.K.</t>
  </si>
  <si>
    <t xml:space="preserve">OPREMA I ALAT ZA MALE BRUSILICE</t>
  </si>
  <si>
    <t xml:space="preserve">OPREMA I ALAT ZA VELIKE BRUSILICE</t>
  </si>
  <si>
    <t xml:space="preserve">NAPRAVA ZA BR. ZRAČ. CIL BR.5521</t>
  </si>
  <si>
    <t xml:space="preserve">NAPRAVA ZA BR. ZRAČ. CIL BR.5447</t>
  </si>
  <si>
    <t xml:space="preserve">NAPRAVA ZA BR. ZRAČ. CIL BR.4087</t>
  </si>
  <si>
    <t xml:space="preserve">NAPRAVA-UNUT. BR. TULJKA S46 I S50</t>
  </si>
  <si>
    <t xml:space="preserve">NAPRAVA-UNUT. BR. TULJKA S60</t>
  </si>
  <si>
    <t xml:space="preserve">NAPRAVA za oblikovanje VT -CIJEVI</t>
  </si>
  <si>
    <t xml:space="preserve">NAPRAVA-ALAT za dizanje motora</t>
  </si>
  <si>
    <t xml:space="preserve">NAPRAVE-RAZNE</t>
  </si>
  <si>
    <t xml:space="preserve">SJEKAČ PNEUMATSKI za čišćenje</t>
  </si>
  <si>
    <t xml:space="preserve">GLAVA za glodanje</t>
  </si>
  <si>
    <t xml:space="preserve">GLODALO, PILASTO</t>
  </si>
  <si>
    <t xml:space="preserve">PRIHVAT SK50 DIN69871</t>
  </si>
  <si>
    <t xml:space="preserve">MIKROMETAR za vanjski navoj</t>
  </si>
  <si>
    <t xml:space="preserve">GLODALO PILASTO</t>
  </si>
  <si>
    <t xml:space="preserve">GLAVA ZA GLODANJE</t>
  </si>
  <si>
    <t xml:space="preserve">SJEKAČ, pneumatski, za čišćenje</t>
  </si>
  <si>
    <t xml:space="preserve">MIKROMETAR, 3-kraki</t>
  </si>
  <si>
    <t xml:space="preserve">STEZAČ, udarni, akumulatorski</t>
  </si>
  <si>
    <t xml:space="preserve">DRŽAČI PLOČICA za grubo i fino istokarivanje</t>
  </si>
  <si>
    <t xml:space="preserve">GLAVA za grubo i fino istokarivanje</t>
  </si>
  <si>
    <t xml:space="preserve">UREZNIK STROJNI   M 42</t>
  </si>
  <si>
    <t xml:space="preserve">MIKROMETAR SA SAT.</t>
  </si>
  <si>
    <t xml:space="preserve">BRUSILICA ZRAČNA-kutna</t>
  </si>
  <si>
    <t xml:space="preserve">HVATALJKA za lim (plate clamp)</t>
  </si>
  <si>
    <t xml:space="preserve">MJERILO POMIČNO</t>
  </si>
  <si>
    <t xml:space="preserve">F603</t>
  </si>
  <si>
    <t xml:space="preserve">MODEL POKLOPAC 4373</t>
  </si>
  <si>
    <t xml:space="preserve">MODEL POKLOPAC 4374</t>
  </si>
  <si>
    <t xml:space="preserve">MODEL POKLOPAC 4375</t>
  </si>
  <si>
    <t xml:space="preserve">MODEL POKLOPAC 4376</t>
  </si>
  <si>
    <t xml:space="preserve">MODEL RASHLADNO OKUČJE 4377</t>
  </si>
  <si>
    <t xml:space="preserve">MODEL RASHLADNO OKUČJE 4378</t>
  </si>
  <si>
    <t xml:space="preserve">MODEL RASHLADNO OKUČJE 4379</t>
  </si>
  <si>
    <t xml:space="preserve">MODEL POKLOP. LEŽ. KRIŽ. GLAV 4380</t>
  </si>
  <si>
    <t xml:space="preserve">MODEL POKL. OJN. LEŽAJA 4381</t>
  </si>
  <si>
    <t xml:space="preserve">MODEL IZLAZNA CIJEV 4385</t>
  </si>
  <si>
    <t xml:space="preserve">MODEL STAP DONJI DIO 4386</t>
  </si>
  <si>
    <t xml:space="preserve">MODEL KUĆIŠTA BRTVENICE 4387</t>
  </si>
  <si>
    <t xml:space="preserve">MODEL KUĆIŠ. ISPUŠ. VENTILA 4389</t>
  </si>
  <si>
    <t xml:space="preserve">MODEL VODILICA VRETENA 4390</t>
  </si>
  <si>
    <t xml:space="preserve">MODEL ULJNI CILINDAR 4393</t>
  </si>
  <si>
    <t xml:space="preserve">MODEL SPOJNA PRIRUBNICA 4394</t>
  </si>
  <si>
    <t xml:space="preserve">MODEL KOLJ. RASHL. VODE 4395</t>
  </si>
  <si>
    <t xml:space="preserve">MODEL PRODUŽETAK 4397</t>
  </si>
  <si>
    <t xml:space="preserve">MODEL NOSAČ LEŽAJA 4398</t>
  </si>
  <si>
    <t xml:space="preserve">MODEL NOSAČ LEŽAJA 4399</t>
  </si>
  <si>
    <t xml:space="preserve">MODEL POKLOPAC 4403</t>
  </si>
  <si>
    <t xml:space="preserve">MODEL ZAMAŠNJAK 4404</t>
  </si>
  <si>
    <t xml:space="preserve">MODEL VRATA STALKA 4405</t>
  </si>
  <si>
    <t xml:space="preserve">MODEL POKLOPAC 4406</t>
  </si>
  <si>
    <t xml:space="preserve">MODEL VRATA STALKA 4407</t>
  </si>
  <si>
    <t xml:space="preserve">MODEL VODILICA KOT. GORIVA 4408</t>
  </si>
  <si>
    <t xml:space="preserve">MODEL VODILICA  KOT. ISPUHA 4409</t>
  </si>
  <si>
    <t xml:space="preserve">MODEL TULJAK VOD.KOT. GORIVO 4410</t>
  </si>
  <si>
    <t xml:space="preserve">MODEL TULJAK VOD.KOT. ISPUH 4411</t>
  </si>
  <si>
    <t xml:space="preserve">MODEL BAZA CRPKE 4412</t>
  </si>
  <si>
    <t xml:space="preserve">MODEL POKLO. PRST. STRUGAČA 4418</t>
  </si>
  <si>
    <t xml:space="preserve">MODEL POKL. PRST. STRUGAČA 4419</t>
  </si>
  <si>
    <t xml:space="preserve">MODEL PRIRUBNICA AMORTIZ 4434</t>
  </si>
  <si>
    <t xml:space="preserve">MODEL NOSAČ 4425</t>
  </si>
  <si>
    <t xml:space="preserve">MODEL KUĆIŠTA AMORTIZERA 4435</t>
  </si>
  <si>
    <t xml:space="preserve">MODEL POKLOPAC LEŽAJA 4415</t>
  </si>
  <si>
    <t xml:space="preserve">MODEL POKLOPAC LEŽAJA 4416</t>
  </si>
  <si>
    <t xml:space="preserve">MODEL KLIZNA STOPA KRMA 4382</t>
  </si>
  <si>
    <t xml:space="preserve">MODEL KLIZNA STOPA PRAMAC 4383</t>
  </si>
  <si>
    <t xml:space="preserve">MODEL ZRAČNI CILINDAR 4391</t>
  </si>
  <si>
    <t xml:space="preserve">MODEL POKLOPAC 4402</t>
  </si>
  <si>
    <t xml:space="preserve">MODEL PRIRUB ZA ZRAČ CILINDAR 4414</t>
  </si>
  <si>
    <t xml:space="preserve">MODEL SEGMENT 4420</t>
  </si>
  <si>
    <t xml:space="preserve">MODEL STAP 4392</t>
  </si>
  <si>
    <t xml:space="preserve">MODEL EKSC. NAPINJ. LANCA 4400</t>
  </si>
  <si>
    <t xml:space="preserve">MODEL VODIL KOTAČ GORIVO 4429</t>
  </si>
  <si>
    <t xml:space="preserve">MODEL KUĆIŠTA RAZDJELJIVAČA 4401</t>
  </si>
  <si>
    <t xml:space="preserve">MODEL TULJAK VODIL KOTAČ 4428</t>
  </si>
  <si>
    <t xml:space="preserve">MODEL BAZA CRPKE 4432</t>
  </si>
  <si>
    <t xml:space="preserve">MODEL POKLOP TEM. LEŽAJA 4430</t>
  </si>
  <si>
    <t xml:space="preserve">MODEL POKLOP TEM.LEŽAJA GORNJI 4431</t>
  </si>
  <si>
    <t xml:space="preserve">MODEL DRŽAČ SEGMENTA 4417</t>
  </si>
  <si>
    <t xml:space="preserve">MODEL ULJNI CILINDAR 4427</t>
  </si>
  <si>
    <t xml:space="preserve">MODEL KOLJENO 4384</t>
  </si>
  <si>
    <t xml:space="preserve">MODEL PRIGUŠ. AKS. VIBRA. P1 4426</t>
  </si>
  <si>
    <t xml:space="preserve">MODEL PRIGUŠ. AKS. VIBRAC. P2 4433</t>
  </si>
  <si>
    <t xml:space="preserve">MODEL POLUGA PREKRETNA 4413</t>
  </si>
  <si>
    <t xml:space="preserve">MODEL ZRAČNI CILINDAR 4424</t>
  </si>
  <si>
    <t xml:space="preserve">VODILICA  VRET. B.M. 4447</t>
  </si>
  <si>
    <t xml:space="preserve">CILINDAR ULJNI B.M. 4443</t>
  </si>
  <si>
    <t xml:space="preserve">CILINDAR ULJNI B.M. 4444</t>
  </si>
  <si>
    <t xml:space="preserve">STAP B.M. 4442</t>
  </si>
  <si>
    <t xml:space="preserve">ZRAČNI CILINDAR B.M. 4441</t>
  </si>
  <si>
    <t xml:space="preserve">LANČANIK  BM 4421 NAC. 1-12257</t>
  </si>
  <si>
    <t xml:space="preserve">KLIZNA STOPA BM 4446</t>
  </si>
  <si>
    <t xml:space="preserve">KLIZNA STOPA BM 4436</t>
  </si>
  <si>
    <t xml:space="preserve">KLIZNA STOPA BM 4437</t>
  </si>
  <si>
    <t xml:space="preserve">KLIZNA STOPA BM 4438</t>
  </si>
  <si>
    <t xml:space="preserve">MODEL KUĆIŠTA STALKA (Br. mod. 4371)</t>
  </si>
  <si>
    <t xml:space="preserve">MODEL TULJKA ZA LJEV. BIJELE KOVINE</t>
  </si>
  <si>
    <t xml:space="preserve">MODEL PRSTENA ZA LJEV. BIJELE KOVINE</t>
  </si>
  <si>
    <t xml:space="preserve">MODEL DRVENI ZA ODLJEVKE MOTORA</t>
  </si>
  <si>
    <t xml:space="preserve">F604</t>
  </si>
  <si>
    <t xml:space="preserve">DIZALICA MOSNA, nos. 1000 Mp</t>
  </si>
  <si>
    <t xml:space="preserve">DIZALICA MOSNA, nos. 5T</t>
  </si>
  <si>
    <t xml:space="preserve">F605</t>
  </si>
  <si>
    <t xml:space="preserve">KOMPRESOR, tip. E4 NF 2010</t>
  </si>
  <si>
    <t xml:space="preserve">KOTAO, toplovodni</t>
  </si>
  <si>
    <t xml:space="preserve">UREĐAJ ZA REGISTRAC. ULAZA IZLAZA</t>
  </si>
  <si>
    <t xml:space="preserve">UREĐAJ ZA AUTOMATSKA KLIZNA VRATA</t>
  </si>
  <si>
    <t xml:space="preserve">BROJILO - Kontrolno mjerenje energije</t>
  </si>
  <si>
    <t xml:space="preserve">BROJILO INTERNO ELEK.</t>
  </si>
  <si>
    <t xml:space="preserve">F610</t>
  </si>
  <si>
    <t xml:space="preserve">VAGA od 1000 kg, 7852</t>
  </si>
  <si>
    <t xml:space="preserve">ELEKTROMOTOR</t>
  </si>
  <si>
    <t xml:space="preserve">KRUŽNA PILA za metal</t>
  </si>
  <si>
    <t xml:space="preserve">VITLO VOZNO VEDAM 3T</t>
  </si>
  <si>
    <r>
      <rPr>
        <sz val="10"/>
        <rFont val="Arial"/>
        <family val="2"/>
        <charset val="238"/>
      </rPr>
      <t xml:space="preserve">STROJ ZA OBRADU KROJEVA, </t>
    </r>
    <r>
      <rPr>
        <sz val="8"/>
        <rFont val="Arial"/>
        <family val="2"/>
        <charset val="238"/>
      </rPr>
      <t xml:space="preserve">G FZM</t>
    </r>
  </si>
  <si>
    <t xml:space="preserve">TRAČNA PILA za metal, SELECT</t>
  </si>
  <si>
    <t xml:space="preserve">ORMAR, limeni, 3-krilni</t>
  </si>
  <si>
    <r>
      <rPr>
        <sz val="10"/>
        <rFont val="Arial"/>
        <family val="2"/>
        <charset val="238"/>
      </rPr>
      <t xml:space="preserve">USISAVAČ, industrijski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tip.3507, pr. CFM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</si>
  <si>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SM763MB</t>
    </r>
  </si>
  <si>
    <r>
      <rPr>
        <sz val="10"/>
        <rFont val="Arial"/>
        <family val="2"/>
        <charset val="238"/>
      </rPr>
      <t xml:space="preserve">PISAČ, </t>
    </r>
    <r>
      <rPr>
        <sz val="8"/>
        <rFont val="Arial"/>
        <family val="2"/>
        <charset val="238"/>
      </rPr>
      <t xml:space="preserve">HP, DeskJet 5652C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</si>
  <si>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SM 795 DF</t>
    </r>
  </si>
  <si>
    <t xml:space="preserve">PC, DTK CEL. D330 (kućište)</t>
  </si>
  <si>
    <t xml:space="preserve">PRINT SERVER HP JETDIRECT 170X</t>
  </si>
  <si>
    <r>
      <rPr>
        <sz val="10"/>
        <rFont val="Arial"/>
        <family val="2"/>
        <charset val="238"/>
      </rPr>
      <t xml:space="preserve">NAPRAVA ZA MONT. KOTV. VIJKA, </t>
    </r>
    <r>
      <rPr>
        <sz val="8"/>
        <rFont val="Arial"/>
        <family val="2"/>
        <charset val="238"/>
      </rPr>
      <t xml:space="preserve">M771C</t>
    </r>
  </si>
  <si>
    <t xml:space="preserve">TELEFON ATA</t>
  </si>
  <si>
    <t xml:space="preserve">TELEFON APARAT</t>
  </si>
  <si>
    <t xml:space="preserve">HIDRAULIČKA NAPRAVA M60x5.5</t>
  </si>
  <si>
    <t xml:space="preserve">STOL, radni, 210x100x72</t>
  </si>
  <si>
    <t xml:space="preserve">KONTEJNER 3 LAD.</t>
  </si>
  <si>
    <t xml:space="preserve">STOL, radni, 160x80x74 C504MET</t>
  </si>
  <si>
    <t xml:space="preserve">STOL, radni, 80x80x74 C501C</t>
  </si>
  <si>
    <t xml:space="preserve">KONTEJNER 3 LAD. ART. C521 CRO-TEMPO</t>
  </si>
  <si>
    <t xml:space="preserve">ORMAR, drvo 90x46x80 C551 CRO-TEMPO</t>
  </si>
  <si>
    <t xml:space="preserve">ORMAR, otvoren 45x47x80  C540 CRO-TEMPO</t>
  </si>
  <si>
    <t xml:space="preserve">ORMAR, drvo 45x47x149 C561 CRO-TEMPO</t>
  </si>
  <si>
    <t xml:space="preserve">ORMAR, staklo/drvo 45x47x149 CRO-TEMPO</t>
  </si>
  <si>
    <t xml:space="preserve">MONITOR, Samsung 20", SM 205BW</t>
  </si>
  <si>
    <t xml:space="preserve">PC, COMPAQ DC7800 GQ644AW CMT</t>
  </si>
  <si>
    <r>
      <rPr>
        <sz val="10"/>
        <rFont val="Arial"/>
        <family val="2"/>
        <charset val="238"/>
      </rPr>
      <t xml:space="preserve">UNIVERZALNA TOKARILICA</t>
    </r>
    <r>
      <rPr>
        <sz val="9"/>
        <rFont val="Arial"/>
        <family val="2"/>
        <charset val="238"/>
      </rPr>
      <t xml:space="preserve">, tip. TNP 250</t>
    </r>
  </si>
  <si>
    <r>
      <rPr>
        <sz val="10"/>
        <rFont val="Arial"/>
        <family val="2"/>
        <charset val="238"/>
      </rPr>
      <t xml:space="preserve">TRAČNA PILA, horizontalna</t>
    </r>
    <r>
      <rPr>
        <sz val="9"/>
        <rFont val="Arial"/>
        <family val="2"/>
        <charset val="238"/>
      </rPr>
      <t xml:space="preserve">, tip. HAP 400-P</t>
    </r>
  </si>
  <si>
    <t xml:space="preserve">MS PROJEKT 2000                    </t>
  </si>
  <si>
    <t xml:space="preserve">F615</t>
  </si>
  <si>
    <t xml:space="preserve">DIZALICA MOSNA                     </t>
  </si>
  <si>
    <r>
      <rPr>
        <sz val="10"/>
        <rFont val="Arial"/>
        <family val="2"/>
        <charset val="238"/>
      </rPr>
      <t xml:space="preserve">POKRETNA DIZALICA, </t>
    </r>
    <r>
      <rPr>
        <sz val="8"/>
        <rFont val="Arial"/>
        <family val="2"/>
        <charset val="238"/>
      </rPr>
      <t xml:space="preserve">nos. 15T, tip. JONES 355</t>
    </r>
  </si>
  <si>
    <t xml:space="preserve">PLINSKA PEĆ - GLJIVASTA 13 kW</t>
  </si>
  <si>
    <t xml:space="preserve">F630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</si>
  <si>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HOKKAIDO PORTABLE</t>
    </r>
  </si>
  <si>
    <t xml:space="preserve">KADA za pranje koljenčastih vratila</t>
  </si>
  <si>
    <t xml:space="preserve">NOTEBOOK HPNX 9010</t>
  </si>
  <si>
    <t xml:space="preserve">MONITOR 19'' SONY SDMX-93B</t>
  </si>
  <si>
    <r>
      <rPr>
        <sz val="10"/>
        <rFont val="Arial"/>
        <family val="2"/>
        <charset val="238"/>
      </rPr>
      <t xml:space="preserve">FOTOKOPIRNI STROJ</t>
    </r>
    <r>
      <rPr>
        <sz val="9"/>
        <rFont val="Arial"/>
        <family val="2"/>
        <charset val="238"/>
      </rPr>
      <t xml:space="preserve">, Canon, IR 1600</t>
    </r>
  </si>
  <si>
    <t xml:space="preserve">KLIMA UREĐAJ, HCNU 611 E DUAL R 407</t>
  </si>
  <si>
    <t xml:space="preserve">MONITOR SM 930BF 19'' TFT</t>
  </si>
  <si>
    <t xml:space="preserve">PC, kućište, HP DX5150 MT 64-32/80/15</t>
  </si>
  <si>
    <t xml:space="preserve">ORMAR, drveni za kartoteku</t>
  </si>
  <si>
    <t xml:space="preserve">MONITOR, Samsung, SM 205BW</t>
  </si>
  <si>
    <t xml:space="preserve">KONTEJNER, 3-ladice</t>
  </si>
  <si>
    <t xml:space="preserve">STOL, radni, 160x160, m. METALICO</t>
  </si>
  <si>
    <t xml:space="preserve">ORMAR, drvo, 90x42x198</t>
  </si>
  <si>
    <t xml:space="preserve">STOL, radni, 140x80x74, METALICO</t>
  </si>
  <si>
    <t xml:space="preserve">STOL, radni, 120x80x74, METALICO</t>
  </si>
  <si>
    <t xml:space="preserve">MONITOR, Samsung 19'', SM 931BF</t>
  </si>
  <si>
    <t xml:space="preserve">SPREMNIK, vol. 2.000 L</t>
  </si>
  <si>
    <t xml:space="preserve">HP, COMPAQ DC5750 RK 465AW</t>
  </si>
  <si>
    <t xml:space="preserve">MONITOR, Samsung 19"</t>
  </si>
  <si>
    <t xml:space="preserve">PRINTER HP BUSINESS INKJET 2800</t>
  </si>
  <si>
    <t xml:space="preserve">PRINTER HP LaserJet 5200TN</t>
  </si>
  <si>
    <t xml:space="preserve">ALAT ZA NAMJ.VOD. ISPUHA M-779</t>
  </si>
  <si>
    <t xml:space="preserve">ALAT ZA NAMJ.VOD.GORIVA M-780C</t>
  </si>
  <si>
    <t xml:space="preserve">PC, COMPAQ DX2300MT CQ889EA</t>
  </si>
  <si>
    <t xml:space="preserve">STOL, radni 160x160x73 CRO-TEMPUS</t>
  </si>
  <si>
    <t xml:space="preserve">KAZETA POKR. 42x57x58 TEMPUS</t>
  </si>
  <si>
    <t xml:space="preserve">ORMAR, drvo, 80x60x73.1, otvor niski</t>
  </si>
  <si>
    <r>
      <rPr>
        <sz val="10"/>
        <rFont val="Arial"/>
        <family val="2"/>
        <charset val="238"/>
      </rPr>
      <t xml:space="preserve">UNIVERZALNA TOKARILICA</t>
    </r>
    <r>
      <rPr>
        <sz val="8"/>
        <rFont val="Arial"/>
        <family val="2"/>
        <charset val="238"/>
      </rPr>
      <t xml:space="preserve">, tip. SN 71 C, pr. Trens</t>
    </r>
  </si>
  <si>
    <t xml:space="preserve">PRINTER, Samsung, ML-1665</t>
  </si>
  <si>
    <t xml:space="preserve">PC, HP PRO 3120 MT</t>
  </si>
  <si>
    <t xml:space="preserve">SOFTWARE za ispis oznaka na limu</t>
  </si>
  <si>
    <t xml:space="preserve">PC, HP PRO 3400 MT 4GB</t>
  </si>
  <si>
    <t xml:space="preserve">MONITOR, Samsung 21,5''</t>
  </si>
  <si>
    <t xml:space="preserve">GRAF STANICA HPZ240 CZC4462DG0</t>
  </si>
  <si>
    <t xml:space="preserve">MONITOR, Samsung, 0359H4MFB05412</t>
  </si>
  <si>
    <t xml:space="preserve">NOTEBOOK HP 250 N2840</t>
  </si>
  <si>
    <t xml:space="preserve">RAČUNALO, HP Z400 CZC123907W </t>
  </si>
  <si>
    <t xml:space="preserve">SINUTRAIN CNC, training for windows</t>
  </si>
  <si>
    <t xml:space="preserve">F640</t>
  </si>
  <si>
    <r>
      <rPr>
        <sz val="10"/>
        <rFont val="Arial"/>
        <family val="2"/>
        <charset val="238"/>
      </rPr>
      <t xml:space="preserve">GLODALICA DIM STALA, </t>
    </r>
    <r>
      <rPr>
        <sz val="8"/>
        <rFont val="Arial"/>
        <family val="2"/>
        <charset val="238"/>
      </rPr>
      <t xml:space="preserve">800x900</t>
    </r>
  </si>
  <si>
    <t xml:space="preserve">TRAČNA PILA za drvo</t>
  </si>
  <si>
    <r>
      <rPr>
        <sz val="10"/>
        <rFont val="Arial"/>
        <family val="2"/>
        <charset val="238"/>
      </rPr>
      <t xml:space="preserve">PILA za uzdužno rezanje, </t>
    </r>
    <r>
      <rPr>
        <sz val="8"/>
        <rFont val="Arial"/>
        <family val="2"/>
        <charset val="238"/>
      </rPr>
      <t xml:space="preserve">PR 30 mm</t>
    </r>
  </si>
  <si>
    <t xml:space="preserve">BRUSILICA, stupna</t>
  </si>
  <si>
    <t xml:space="preserve">TOKARILICA</t>
  </si>
  <si>
    <t xml:space="preserve">TRAČNA PILA, stol 700x800</t>
  </si>
  <si>
    <t xml:space="preserve">TRAČNA PILA, PR 800</t>
  </si>
  <si>
    <t xml:space="preserve">BRUSILICA za drvo</t>
  </si>
  <si>
    <t xml:space="preserve">VENTILATOR, tip. NVNE 900            </t>
  </si>
  <si>
    <t xml:space="preserve">TOKARILICA za drvo</t>
  </si>
  <si>
    <r>
      <rPr>
        <sz val="10"/>
        <rFont val="Arial"/>
        <family val="2"/>
        <charset val="238"/>
      </rPr>
      <t xml:space="preserve">BLANJALICA za drvo, </t>
    </r>
    <r>
      <rPr>
        <sz val="8"/>
        <rFont val="Arial"/>
        <family val="2"/>
        <charset val="238"/>
      </rPr>
      <t xml:space="preserve">tip. D-6</t>
    </r>
  </si>
  <si>
    <t xml:space="preserve">BLANJA, stolarska, kombinirana</t>
  </si>
  <si>
    <r>
      <rPr>
        <sz val="10"/>
        <rFont val="Arial"/>
        <family val="2"/>
        <charset val="238"/>
      </rPr>
      <t xml:space="preserve">GLODALICA za drvo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12 611-72, pr. TOS</t>
    </r>
  </si>
  <si>
    <t xml:space="preserve">UREĐAJ za dizanje modela</t>
  </si>
  <si>
    <t xml:space="preserve">RAVNALICA za drvo, R-50</t>
  </si>
  <si>
    <t xml:space="preserve">BRUSILICA, tanjurasta, valjkasta</t>
  </si>
  <si>
    <t xml:space="preserve">TRANSFORMATOR za zavarivanje tračnih pila</t>
  </si>
  <si>
    <t xml:space="preserve">BRUSILICA za oštrenje tračnih pila</t>
  </si>
  <si>
    <t xml:space="preserve">STOL, radni, mehaničarski</t>
  </si>
  <si>
    <t xml:space="preserve">ORMAR za alat, drveni</t>
  </si>
  <si>
    <t xml:space="preserve">ORMAR, limeni, 2-krilni</t>
  </si>
  <si>
    <t xml:space="preserve">STOL, radni, stolarski</t>
  </si>
  <si>
    <t xml:space="preserve">ORMAR, drveni za alat</t>
  </si>
  <si>
    <r>
      <rPr>
        <sz val="10"/>
        <rFont val="Arial"/>
        <family val="2"/>
        <charset val="238"/>
      </rPr>
      <t xml:space="preserve">HORIZONTALNA BUŠILICA</t>
    </r>
    <r>
      <rPr>
        <sz val="9"/>
        <rFont val="Arial"/>
        <family val="2"/>
        <charset val="238"/>
      </rPr>
      <t xml:space="preserve">, tip. PBS-25</t>
    </r>
  </si>
  <si>
    <t xml:space="preserve">STOLNA BUŠILICA, pr. Metalac</t>
  </si>
  <si>
    <t xml:space="preserve">GLODALICA, kopirna, nadstolna</t>
  </si>
  <si>
    <r>
      <rPr>
        <sz val="10"/>
        <rFont val="Arial"/>
        <family val="2"/>
        <charset val="238"/>
      </rPr>
      <t xml:space="preserve">PILA, kombinirana, stolna, </t>
    </r>
    <r>
      <rPr>
        <sz val="8"/>
        <rFont val="Arial"/>
        <family val="2"/>
        <charset val="238"/>
      </rPr>
      <t xml:space="preserve">ELEKTROK</t>
    </r>
  </si>
  <si>
    <t xml:space="preserve">BRUSILICA alata, PR 200</t>
  </si>
  <si>
    <t xml:space="preserve">UREĐAJ za mrežno povezivanje SWITCH10/100</t>
  </si>
  <si>
    <t xml:space="preserve">ORMAR 3 U/NET CASE 500x355x146</t>
  </si>
  <si>
    <t xml:space="preserve">BRUS, vodeni, električni</t>
  </si>
  <si>
    <t xml:space="preserve">ORMAR za alat, drveni, 3-krilni</t>
  </si>
  <si>
    <t xml:space="preserve">ORMAR za alat, drveni, 4-krilni</t>
  </si>
  <si>
    <t xml:space="preserve">PRINTER, LEXMARX E120N</t>
  </si>
  <si>
    <t xml:space="preserve">HP PROCURVE SWITCH</t>
  </si>
  <si>
    <t xml:space="preserve">MONITOR 17"</t>
  </si>
  <si>
    <t xml:space="preserve">PREŠA, 20 T, (plave boje)</t>
  </si>
  <si>
    <t xml:space="preserve">KLIMA UREĐAJ, HAIER</t>
  </si>
  <si>
    <t xml:space="preserve">F650</t>
  </si>
  <si>
    <t xml:space="preserve">UVALJIVAČ CIJEVI EL 7555</t>
  </si>
  <si>
    <t xml:space="preserve">AGREGAT MOTORNE CRPKE MKP R50 7283</t>
  </si>
  <si>
    <r>
      <rPr>
        <sz val="10"/>
        <rFont val="Arial"/>
        <family val="2"/>
        <charset val="238"/>
      </rPr>
      <t xml:space="preserve">PREŠA, hidraulična</t>
    </r>
    <r>
      <rPr>
        <sz val="9"/>
        <rFont val="Arial"/>
        <family val="2"/>
        <charset val="238"/>
      </rPr>
      <t xml:space="preserve">, HP 200/200, 7284</t>
    </r>
  </si>
  <si>
    <t xml:space="preserve">ŠKARE ZA LIM VARENE</t>
  </si>
  <si>
    <t xml:space="preserve">STROJ ZA SAVIJANJE LIMA</t>
  </si>
  <si>
    <t xml:space="preserve">STROJ BRODOG KOMBIN sa probijačem</t>
  </si>
  <si>
    <t xml:space="preserve">DIZALICA MOSNA, ručna, nos. 3T </t>
  </si>
  <si>
    <t xml:space="preserve">UREĐAJ za ručno brušenje, PR 500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</si>
  <si>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30/6,3t /16,858m</t>
    </r>
  </si>
  <si>
    <t xml:space="preserve">PEĆ za žarenje profila</t>
  </si>
  <si>
    <t xml:space="preserve">DIZALICA EL VEDA</t>
  </si>
  <si>
    <t xml:space="preserve">BRUSILICA, dvostrana, tip. EBR-50</t>
  </si>
  <si>
    <r>
      <rPr>
        <sz val="10"/>
        <rFont val="Arial"/>
        <family val="2"/>
        <charset val="238"/>
      </rPr>
      <t xml:space="preserve">STUPNA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STB-132, pr. Prvomajska</t>
    </r>
  </si>
  <si>
    <t xml:space="preserve">BRUSILICA, LSS64 SO85-18</t>
  </si>
  <si>
    <t xml:space="preserve">DIZALICA VEDA</t>
  </si>
  <si>
    <t xml:space="preserve">VITLO VOZNO EL. nos. 5T</t>
  </si>
  <si>
    <t xml:space="preserve">VITLO VOZNO EL. VEDAM, nos. 3T</t>
  </si>
  <si>
    <t xml:space="preserve">VITLO TERETNO LIFT</t>
  </si>
  <si>
    <t xml:space="preserve">ORMAR, drveni 2-krilni</t>
  </si>
  <si>
    <r>
      <rPr>
        <sz val="10"/>
        <rFont val="Arial"/>
        <family val="2"/>
        <charset val="238"/>
      </rPr>
      <t xml:space="preserve">POZICIONER-u</t>
    </r>
    <r>
      <rPr>
        <sz val="9"/>
        <rFont val="Arial"/>
        <family val="2"/>
        <charset val="238"/>
      </rPr>
      <t xml:space="preserve">ređaj za zavar.</t>
    </r>
    <r>
      <rPr>
        <sz val="8"/>
        <rFont val="Arial"/>
        <family val="2"/>
        <charset val="238"/>
      </rPr>
      <t xml:space="preserve">, tip. POH 35, pr. Metalna</t>
    </r>
  </si>
  <si>
    <t xml:space="preserve">DIZALICA, hidraulična</t>
  </si>
  <si>
    <t xml:space="preserve">VITLO EL. SAM 200 T/B ZP PC</t>
  </si>
  <si>
    <r>
      <rPr>
        <sz val="10"/>
        <rFont val="Arial"/>
        <family val="2"/>
        <charset val="238"/>
      </rPr>
      <t xml:space="preserve">RADIJALNA BUŠILICA,</t>
    </r>
    <r>
      <rPr>
        <sz val="9"/>
        <rFont val="Arial"/>
        <family val="2"/>
        <charset val="238"/>
      </rPr>
      <t xml:space="preserve"> tip. RHF 75</t>
    </r>
  </si>
  <si>
    <r>
      <rPr>
        <sz val="10"/>
        <rFont val="Arial"/>
        <family val="2"/>
        <charset val="238"/>
      </rPr>
      <t xml:space="preserve">RADIJALNA BUŠILICA,</t>
    </r>
    <r>
      <rPr>
        <sz val="9"/>
        <rFont val="Arial"/>
        <family val="2"/>
        <charset val="238"/>
      </rPr>
      <t xml:space="preserve"> tip. RB 40</t>
    </r>
  </si>
  <si>
    <t xml:space="preserve">TRANSFORMATOR za zavarivanje</t>
  </si>
  <si>
    <r>
      <rPr>
        <sz val="10"/>
        <rFont val="Arial"/>
        <family val="2"/>
        <charset val="238"/>
      </rPr>
      <t xml:space="preserve">ISPRAVLJAČ za zavarivanje</t>
    </r>
    <r>
      <rPr>
        <sz val="9"/>
        <rFont val="Arial"/>
        <family val="2"/>
        <charset val="238"/>
      </rPr>
      <t xml:space="preserve">, LCH 575</t>
    </r>
  </si>
  <si>
    <r>
      <rPr>
        <sz val="10"/>
        <rFont val="Arial"/>
        <family val="2"/>
        <charset val="238"/>
      </rPr>
      <t xml:space="preserve">POZICIONER-</t>
    </r>
    <r>
      <rPr>
        <sz val="9"/>
        <rFont val="Arial"/>
        <family val="2"/>
        <charset val="238"/>
      </rPr>
      <t xml:space="preserve">uređaj za zavar.</t>
    </r>
    <r>
      <rPr>
        <sz val="8"/>
        <rFont val="Arial"/>
        <family val="2"/>
        <charset val="238"/>
      </rPr>
      <t xml:space="preserve">, tip. POH 10, pr. Metalna</t>
    </r>
  </si>
  <si>
    <t xml:space="preserve">USISIVAČ PLINOVA</t>
  </si>
  <si>
    <r>
      <rPr>
        <sz val="10"/>
        <rFont val="Arial"/>
        <family val="2"/>
        <charset val="238"/>
      </rPr>
      <t xml:space="preserve">ISPRAVLJAČ za zavarivanje</t>
    </r>
    <r>
      <rPr>
        <sz val="9"/>
        <rFont val="Arial"/>
        <family val="2"/>
        <charset val="238"/>
      </rPr>
      <t xml:space="preserve">, LCH 375</t>
    </r>
  </si>
  <si>
    <t xml:space="preserve">AUTOMAT za zavarivanje pod praškom</t>
  </si>
  <si>
    <t xml:space="preserve">BRUSILICA, alatna</t>
  </si>
  <si>
    <t xml:space="preserve">OPREMA za elektrootporno predgrijavanje</t>
  </si>
  <si>
    <r>
      <rPr>
        <sz val="10"/>
        <rFont val="Arial"/>
        <family val="2"/>
        <charset val="238"/>
      </rPr>
      <t xml:space="preserve">PILA, strojna</t>
    </r>
    <r>
      <rPr>
        <sz val="9"/>
        <rFont val="Arial"/>
        <family val="2"/>
        <charset val="238"/>
      </rPr>
      <t xml:space="preserve">, tip. SP-315</t>
    </r>
  </si>
  <si>
    <r>
      <rPr>
        <sz val="10"/>
        <rFont val="Arial"/>
        <family val="2"/>
        <charset val="238"/>
      </rPr>
      <t xml:space="preserve">UREĐAJ za TIG zavarivanje</t>
    </r>
    <r>
      <rPr>
        <sz val="9"/>
        <rFont val="Arial"/>
        <family val="2"/>
        <charset val="238"/>
      </rPr>
      <t xml:space="preserve">, IRA 400</t>
    </r>
  </si>
  <si>
    <r>
      <rPr>
        <sz val="10"/>
        <rFont val="Arial"/>
        <family val="2"/>
        <charset val="238"/>
      </rPr>
      <t xml:space="preserve">APARAT za zavarivanje</t>
    </r>
    <r>
      <rPr>
        <sz val="9"/>
        <rFont val="Arial"/>
        <family val="2"/>
        <charset val="238"/>
      </rPr>
      <t xml:space="preserve">, IRA 600</t>
    </r>
  </si>
  <si>
    <t xml:space="preserve">KONTROLOR EL. za uvaljivanje cijevi</t>
  </si>
  <si>
    <t xml:space="preserve">ORMAR, željezni za čuvanje alata</t>
  </si>
  <si>
    <t xml:space="preserve">STROJ za poluautomatsko zavarivanje</t>
  </si>
  <si>
    <t xml:space="preserve">ORMAR, drveni, za nacrte</t>
  </si>
  <si>
    <t xml:space="preserve">ORMAR, drveni, 3-krilni, za svlačionicu</t>
  </si>
  <si>
    <t xml:space="preserve">APARAT za zavarivanje, TIG 2000 AC/DC</t>
  </si>
  <si>
    <t xml:space="preserve">APARAT za zavarivanje, ESAB</t>
  </si>
  <si>
    <t xml:space="preserve">PC, PENTIUM III 550 17'' (kućište)</t>
  </si>
  <si>
    <t xml:space="preserve">ISPRAVLJAČ za MIG-MAG zavariv., 500 E</t>
  </si>
  <si>
    <t xml:space="preserve">DODAVAČ ŽICE WF 41 GT</t>
  </si>
  <si>
    <t xml:space="preserve">TRAKTOR za zavarivanje, A2 ESAB MULTIT.</t>
  </si>
  <si>
    <t xml:space="preserve">ISPRAVLJAČ za zavarivanje, EPP ESAB LAF</t>
  </si>
  <si>
    <t xml:space="preserve">ISPRAVLJAČ za zavarivanje, 500E MIG</t>
  </si>
  <si>
    <t xml:space="preserve">DODAVAČ žice, WF 41 GT</t>
  </si>
  <si>
    <t xml:space="preserve">ISPRAVLJAČ za zavarivanje, LHE 400</t>
  </si>
  <si>
    <t xml:space="preserve">USISAVAČ MONDO M20</t>
  </si>
  <si>
    <t xml:space="preserve">KLIMA UREĐAJ, HOKAIDO 201V Inverter</t>
  </si>
  <si>
    <t xml:space="preserve">LONAC, ljevački</t>
  </si>
  <si>
    <t xml:space="preserve">SCANNER, HP 3770</t>
  </si>
  <si>
    <t xml:space="preserve">ISPRAVLJAČ, tiristorski, MIG 500E</t>
  </si>
  <si>
    <t xml:space="preserve">AUTOMAT za zavarivanje, AZ/LAF 1000</t>
  </si>
  <si>
    <r>
      <rPr>
        <sz val="10"/>
        <rFont val="Arial"/>
        <family val="2"/>
        <charset val="238"/>
      </rPr>
      <t xml:space="preserve">STROJ za zavarivanje, </t>
    </r>
    <r>
      <rPr>
        <sz val="8"/>
        <rFont val="Arial"/>
        <family val="2"/>
        <charset val="238"/>
      </rPr>
      <t xml:space="preserve">tip. MIG 500E</t>
    </r>
  </si>
  <si>
    <t xml:space="preserve">PC, HP DC5100 CEL 330 40GB</t>
  </si>
  <si>
    <t xml:space="preserve">ISPRAVLJAČ, tiristorski</t>
  </si>
  <si>
    <r>
      <rPr>
        <sz val="10"/>
        <rFont val="Arial"/>
        <family val="2"/>
        <charset val="238"/>
      </rPr>
      <t xml:space="preserve">PC, kućište, </t>
    </r>
    <r>
      <rPr>
        <sz val="8"/>
        <rFont val="Arial"/>
        <family val="2"/>
        <charset val="238"/>
      </rPr>
      <t xml:space="preserve">HP, DC51100 CEL 330 40</t>
    </r>
  </si>
  <si>
    <r>
      <rPr>
        <sz val="10"/>
        <rFont val="Arial"/>
        <family val="2"/>
        <charset val="238"/>
      </rPr>
      <t xml:space="preserve">PISAČ, </t>
    </r>
    <r>
      <rPr>
        <sz val="8"/>
        <rFont val="Arial"/>
        <family val="2"/>
        <charset val="238"/>
      </rPr>
      <t xml:space="preserve">HP, DeskJet, 5440</t>
    </r>
  </si>
  <si>
    <r>
      <rPr>
        <sz val="10"/>
        <rFont val="Arial"/>
        <family val="2"/>
        <charset val="238"/>
      </rPr>
      <t xml:space="preserve">ORMAR 3 U/NET, </t>
    </r>
    <r>
      <rPr>
        <sz val="8"/>
        <rFont val="Arial"/>
        <family val="2"/>
        <charset val="238"/>
      </rPr>
      <t xml:space="preserve">CASE 500x355x146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</si>
  <si>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DC Inverter Hokkaido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</si>
  <si>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DC Inverter Clasic LIN</t>
    </r>
  </si>
  <si>
    <t xml:space="preserve">KRUŽNA PILA, ručna, 07345</t>
  </si>
  <si>
    <t xml:space="preserve">STUPNA DIZALICA, pneumatska, 07242</t>
  </si>
  <si>
    <r>
      <rPr>
        <sz val="10"/>
        <rFont val="Arial"/>
        <family val="2"/>
        <charset val="238"/>
      </rPr>
      <t xml:space="preserve">MAGNETOFLUX, </t>
    </r>
    <r>
      <rPr>
        <sz val="8"/>
        <rFont val="Arial"/>
        <family val="2"/>
        <charset val="238"/>
      </rPr>
      <t xml:space="preserve">1500/100 CCA 07663</t>
    </r>
  </si>
  <si>
    <r>
      <rPr>
        <sz val="10"/>
        <rFont val="Arial"/>
        <family val="2"/>
        <charset val="238"/>
      </rPr>
      <t xml:space="preserve">PREŠA, teleskopska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HP, 10/600, 07265</t>
    </r>
  </si>
  <si>
    <r>
      <rPr>
        <sz val="10"/>
        <rFont val="Arial"/>
        <family val="2"/>
        <charset val="238"/>
      </rPr>
      <t xml:space="preserve">UREĐAJ VAGNER, </t>
    </r>
    <r>
      <rPr>
        <sz val="8"/>
        <rFont val="Arial"/>
        <family val="2"/>
        <charset val="238"/>
      </rPr>
      <t xml:space="preserve">tip. 26004 07827</t>
    </r>
  </si>
  <si>
    <t xml:space="preserve">PLATFORMA, željezna, 401</t>
  </si>
  <si>
    <t xml:space="preserve">BLOKOVI, željezni, 347</t>
  </si>
  <si>
    <t xml:space="preserve">TELEFON ATA 32 K</t>
  </si>
  <si>
    <t xml:space="preserve">PEĆ, termoakumulaciona, 3 kW</t>
  </si>
  <si>
    <t xml:space="preserve">ORMAR, kombinirani, 3-krilni</t>
  </si>
  <si>
    <t xml:space="preserve">ORMAR, 1-krilni</t>
  </si>
  <si>
    <r>
      <rPr>
        <sz val="10"/>
        <rFont val="Arial"/>
        <family val="2"/>
        <charset val="238"/>
      </rPr>
      <t xml:space="preserve">ČAJNA KUHINJA </t>
    </r>
    <r>
      <rPr>
        <sz val="8"/>
        <rFont val="Arial"/>
        <family val="2"/>
        <charset val="238"/>
      </rPr>
      <t xml:space="preserve">(komplet)</t>
    </r>
  </si>
  <si>
    <t xml:space="preserve">GRIJALICA 13 kW</t>
  </si>
  <si>
    <r>
      <rPr>
        <sz val="10"/>
        <rFont val="Arial"/>
        <family val="2"/>
        <charset val="238"/>
      </rPr>
      <t xml:space="preserve">TRAČNA PILA, </t>
    </r>
    <r>
      <rPr>
        <sz val="8"/>
        <rFont val="Arial"/>
        <family val="2"/>
        <charset val="238"/>
      </rPr>
      <t xml:space="preserve">HUVENA HU 210 CSO VARIO</t>
    </r>
  </si>
  <si>
    <t xml:space="preserve">IZVOR STRUJE za zavarivanje</t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</si>
  <si>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WF 41GT</t>
    </r>
  </si>
  <si>
    <r>
      <rPr>
        <sz val="10"/>
        <rFont val="Arial"/>
        <family val="2"/>
        <charset val="238"/>
      </rPr>
      <t xml:space="preserve">AUTOMAT za zavarivanje, </t>
    </r>
    <r>
      <rPr>
        <sz val="8"/>
        <rFont val="Arial"/>
        <family val="2"/>
        <charset val="238"/>
      </rPr>
      <t xml:space="preserve">A2/LAF1000</t>
    </r>
  </si>
  <si>
    <r>
      <rPr>
        <sz val="10"/>
        <rFont val="Arial"/>
        <family val="2"/>
        <charset val="238"/>
      </rPr>
      <t xml:space="preserve">JEDINICA ZA ODSISAVANJE, </t>
    </r>
    <r>
      <rPr>
        <sz val="8"/>
        <rFont val="Arial"/>
        <family val="2"/>
        <charset val="238"/>
      </rPr>
      <t xml:space="preserve">MB 190</t>
    </r>
  </si>
  <si>
    <r>
      <rPr>
        <sz val="10"/>
        <rFont val="Arial"/>
        <family val="2"/>
        <charset val="238"/>
      </rPr>
      <t xml:space="preserve">BOJADISAONA </t>
    </r>
    <r>
      <rPr>
        <sz val="8"/>
        <rFont val="Arial"/>
        <family val="2"/>
        <charset val="238"/>
      </rPr>
      <t xml:space="preserve">(lakirnica i sušionica) PN. 210074</t>
    </r>
  </si>
  <si>
    <t xml:space="preserve">UREĐAJ za dodavanje žice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</si>
  <si>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LEXMARX E120N</t>
    </r>
  </si>
  <si>
    <t xml:space="preserve">SWITCH 8 PORTA</t>
  </si>
  <si>
    <t xml:space="preserve">UREAĐAJ za TIG zavarivanje</t>
  </si>
  <si>
    <t xml:space="preserve">INVERTORSKI IZVOR</t>
  </si>
  <si>
    <t xml:space="preserve">APARAT za zavarivanje</t>
  </si>
  <si>
    <r>
      <rPr>
        <sz val="10"/>
        <rFont val="Arial"/>
        <family val="2"/>
        <charset val="238"/>
      </rPr>
      <t xml:space="preserve">TELEFAX, </t>
    </r>
    <r>
      <rPr>
        <sz val="8"/>
        <rFont val="Arial"/>
        <family val="2"/>
        <charset val="238"/>
      </rPr>
      <t xml:space="preserve">Samsung, Laserski, SCX-4521F</t>
    </r>
  </si>
  <si>
    <r>
      <rPr>
        <sz val="10"/>
        <rFont val="Arial"/>
        <family val="2"/>
        <charset val="238"/>
      </rPr>
      <t xml:space="preserve">PLATFORMA </t>
    </r>
    <r>
      <rPr>
        <sz val="9"/>
        <rFont val="Arial"/>
        <family val="2"/>
        <charset val="238"/>
      </rPr>
      <t xml:space="preserve">za zavarivanje</t>
    </r>
    <r>
      <rPr>
        <sz val="8"/>
        <rFont val="Arial"/>
        <family val="2"/>
        <charset val="238"/>
      </rPr>
      <t xml:space="preserve">, tip. Platforma sa T-utorima</t>
    </r>
  </si>
  <si>
    <t xml:space="preserve">OKRETALJKA</t>
  </si>
  <si>
    <r>
      <rPr>
        <sz val="10"/>
        <rFont val="Arial"/>
        <family val="2"/>
        <charset val="238"/>
      </rPr>
      <t xml:space="preserve">CRPKA-UREĐAJ za bojanje, </t>
    </r>
    <r>
      <rPr>
        <sz val="8"/>
        <rFont val="Arial"/>
        <family val="2"/>
        <charset val="238"/>
      </rPr>
      <t xml:space="preserve">PROF. AIRLESS</t>
    </r>
  </si>
  <si>
    <r>
      <rPr>
        <sz val="10"/>
        <rFont val="Arial"/>
        <family val="2"/>
        <charset val="238"/>
      </rPr>
      <t xml:space="preserve">UREĐAJ </t>
    </r>
    <r>
      <rPr>
        <sz val="8"/>
        <rFont val="Arial"/>
        <family val="2"/>
        <charset val="238"/>
      </rPr>
      <t xml:space="preserve">za SAČMARENJE/PJESKARENJE</t>
    </r>
  </si>
  <si>
    <r>
      <rPr>
        <sz val="10"/>
        <rFont val="Arial"/>
        <family val="2"/>
        <charset val="238"/>
      </rPr>
      <t xml:space="preserve">DIZALICA, nos. 40T</t>
    </r>
    <r>
      <rPr>
        <sz val="9"/>
        <rFont val="Arial"/>
        <family val="2"/>
        <charset val="238"/>
      </rPr>
      <t xml:space="preserve"> (stara zavariona)</t>
    </r>
  </si>
  <si>
    <t xml:space="preserve">KOMUNIKACIJSKI ORMAR</t>
  </si>
  <si>
    <t xml:space="preserve">SWITCH CISCO CATALYST 2960 PLUS</t>
  </si>
  <si>
    <t xml:space="preserve">NAPRAVA za zavarivanje</t>
  </si>
  <si>
    <t xml:space="preserve">NAPRAVA ZA PRIČVRŠ. MODUL VINČA</t>
  </si>
  <si>
    <t xml:space="preserve">NAPRAVA za pričvršćenje kabine</t>
  </si>
  <si>
    <t xml:space="preserve">NAPRAVA za učvršćivanje</t>
  </si>
  <si>
    <t xml:space="preserve">CJEVOVOD ACETILENA I KISIKA</t>
  </si>
  <si>
    <r>
      <rPr>
        <sz val="10"/>
        <rFont val="Arial"/>
        <family val="2"/>
        <charset val="238"/>
      </rPr>
      <t xml:space="preserve">INVERTEC 300TPX                          </t>
    </r>
    <r>
      <rPr>
        <sz val="8"/>
        <rFont val="Arial"/>
        <family val="2"/>
        <charset val="238"/>
      </rPr>
      <t xml:space="preserve">(ukradeno)</t>
    </r>
  </si>
  <si>
    <r>
      <rPr>
        <sz val="10"/>
        <rFont val="Arial"/>
        <family val="2"/>
        <charset val="238"/>
      </rPr>
      <t xml:space="preserve">APARAT za zavarivanje, </t>
    </r>
    <r>
      <rPr>
        <sz val="8"/>
        <rFont val="Arial"/>
        <family val="2"/>
        <charset val="238"/>
      </rPr>
      <t xml:space="preserve">SPEEDTEC 405S</t>
    </r>
  </si>
  <si>
    <t xml:space="preserve">DODAVAČ ŽICE PF-42</t>
  </si>
  <si>
    <t xml:space="preserve">HLADNJAK COOLARC 46</t>
  </si>
  <si>
    <t xml:space="preserve">DODAVAČ žice, PF-42</t>
  </si>
  <si>
    <t xml:space="preserve">DATAGUN za UPDATE UREĐAJ za zavarivanje</t>
  </si>
  <si>
    <t xml:space="preserve">F654</t>
  </si>
  <si>
    <t xml:space="preserve">DIZALICA MOSNA</t>
  </si>
  <si>
    <t xml:space="preserve">ŠKARE RUČNE 2,5 mm</t>
  </si>
  <si>
    <r>
      <rPr>
        <sz val="10"/>
        <rFont val="Arial"/>
        <family val="2"/>
        <charset val="238"/>
      </rPr>
      <t xml:space="preserve">STOLNA BUŠILICA</t>
    </r>
    <r>
      <rPr>
        <sz val="9"/>
        <rFont val="Arial"/>
        <family val="2"/>
        <charset val="238"/>
      </rPr>
      <t xml:space="preserve">, tip. BT 10</t>
    </r>
  </si>
  <si>
    <t xml:space="preserve">KLIMA KOMORA VENTIL CENTRALA</t>
  </si>
  <si>
    <r>
      <rPr>
        <sz val="10"/>
        <rFont val="Arial"/>
        <family val="2"/>
        <charset val="238"/>
      </rPr>
      <t xml:space="preserve">VENTILATOR KROVNI sa EM.      </t>
    </r>
    <r>
      <rPr>
        <sz val="8"/>
        <rFont val="Arial"/>
        <family val="2"/>
        <charset val="238"/>
      </rPr>
      <t xml:space="preserve"> (ne postoji)</t>
    </r>
  </si>
  <si>
    <r>
      <rPr>
        <sz val="10"/>
        <rFont val="Arial"/>
        <family val="2"/>
        <charset val="238"/>
      </rPr>
      <t xml:space="preserve">VENTILATOR AKSIALNI      </t>
    </r>
    <r>
      <rPr>
        <sz val="8"/>
        <rFont val="Arial"/>
        <family val="2"/>
        <charset val="238"/>
      </rPr>
      <t xml:space="preserve">             (ne postoji)</t>
    </r>
  </si>
  <si>
    <r>
      <rPr>
        <sz val="10"/>
        <rFont val="Arial"/>
        <family val="2"/>
        <charset val="238"/>
      </rPr>
      <t xml:space="preserve">UREĐAJ za plinsko rezanje, </t>
    </r>
    <r>
      <rPr>
        <sz val="8"/>
        <rFont val="Arial"/>
        <family val="2"/>
        <charset val="238"/>
      </rPr>
      <t xml:space="preserve">tip. OPTOTAJ</t>
    </r>
  </si>
  <si>
    <r>
      <rPr>
        <sz val="10"/>
        <rFont val="Arial"/>
        <family val="2"/>
        <charset val="238"/>
      </rPr>
      <t xml:space="preserve">PANTOGRAF za rezanje, </t>
    </r>
    <r>
      <rPr>
        <sz val="8"/>
        <rFont val="Arial"/>
        <family val="2"/>
        <charset val="238"/>
      </rPr>
      <t xml:space="preserve">tip. OPTOTAJ 20/25</t>
    </r>
  </si>
  <si>
    <r>
      <rPr>
        <sz val="10"/>
        <rFont val="Arial"/>
        <family val="2"/>
        <charset val="238"/>
      </rPr>
      <t xml:space="preserve">STROJ za plinsko rez. lima, </t>
    </r>
    <r>
      <rPr>
        <sz val="8"/>
        <rFont val="Arial"/>
        <family val="2"/>
        <charset val="238"/>
      </rPr>
      <t xml:space="preserve">XC 3000 IVANA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</si>
  <si>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Samsung, SM 152T</t>
    </r>
  </si>
  <si>
    <t xml:space="preserve">CISCO 585 LRE CPE 8</t>
  </si>
  <si>
    <t xml:space="preserve">UREĐAJ za rotaciono glodanje</t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</si>
  <si>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HP, COMPAQ 6000 PRO MT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</si>
  <si>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HP, COMPAQ LCD 22''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</si>
  <si>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OJ7110  CN3A93MH27</t>
    </r>
  </si>
  <si>
    <t xml:space="preserve">F655</t>
  </si>
  <si>
    <r>
      <rPr>
        <sz val="10"/>
        <rFont val="Arial"/>
        <family val="2"/>
        <charset val="238"/>
      </rPr>
      <t xml:space="preserve">ISPITIVAČ tvrdoće</t>
    </r>
    <r>
      <rPr>
        <sz val="9"/>
        <rFont val="Arial"/>
        <family val="2"/>
        <charset val="238"/>
      </rPr>
      <t xml:space="preserve">,  5563/4</t>
    </r>
  </si>
  <si>
    <r>
      <rPr>
        <sz val="10"/>
        <rFont val="Arial"/>
        <family val="2"/>
        <charset val="238"/>
      </rPr>
      <t xml:space="preserve">APARAT za ispitivanje tvrdoće</t>
    </r>
    <r>
      <rPr>
        <sz val="9"/>
        <rFont val="Arial"/>
        <family val="2"/>
        <charset val="238"/>
      </rPr>
      <t xml:space="preserve">, 1014</t>
    </r>
  </si>
  <si>
    <t xml:space="preserve">F658</t>
  </si>
  <si>
    <r>
      <rPr>
        <sz val="10"/>
        <rFont val="Arial"/>
        <family val="2"/>
        <charset val="238"/>
      </rPr>
      <t xml:space="preserve">APARAT za ispitivanje kovine</t>
    </r>
    <r>
      <rPr>
        <sz val="9"/>
        <rFont val="Arial"/>
        <family val="2"/>
        <charset val="238"/>
      </rPr>
      <t xml:space="preserve">, 07784</t>
    </r>
  </si>
  <si>
    <t xml:space="preserve">nep.</t>
  </si>
  <si>
    <r>
      <rPr>
        <sz val="10"/>
        <rFont val="Arial"/>
        <family val="2"/>
        <charset val="238"/>
      </rPr>
      <t xml:space="preserve">STROJ za vlačno ispit. mater.</t>
    </r>
    <r>
      <rPr>
        <sz val="9"/>
        <rFont val="Arial"/>
        <family val="2"/>
        <charset val="238"/>
      </rPr>
      <t xml:space="preserve">, tip. UPD 600, tvb. 5559</t>
    </r>
  </si>
  <si>
    <r>
      <rPr>
        <sz val="10"/>
        <rFont val="Arial"/>
        <family val="2"/>
        <charset val="238"/>
      </rPr>
      <t xml:space="preserve">STROJ za ispit. mat. na lom</t>
    </r>
    <r>
      <rPr>
        <sz val="9"/>
        <rFont val="Arial"/>
        <family val="2"/>
        <charset val="238"/>
      </rPr>
      <t xml:space="preserve">, pr. Moltrasio, Tb. 3202</t>
    </r>
  </si>
  <si>
    <t xml:space="preserve">BRUSILICA, ručna</t>
  </si>
  <si>
    <t xml:space="preserve">PEĆ, JAMSKA sa el.m. i pirometrom</t>
  </si>
  <si>
    <t xml:space="preserve">VENTILATOR za plinske peći</t>
  </si>
  <si>
    <t xml:space="preserve">PEĆ, za kaljenje, elektro</t>
  </si>
  <si>
    <t xml:space="preserve">VITLO VOZNO VEDAM, nos. 2/4T</t>
  </si>
  <si>
    <t xml:space="preserve">PEĆ KOMORNA KPN 35/25-50</t>
  </si>
  <si>
    <t xml:space="preserve">UREĐAJ ZA NITRIRANJE</t>
  </si>
  <si>
    <t xml:space="preserve">PEĆ DUBINSKA ZA KALJENJE JP 80</t>
  </si>
  <si>
    <t xml:space="preserve">KUPATILO ULJNO ZA KALJENJE</t>
  </si>
  <si>
    <t xml:space="preserve">PEĆ JAMSKA 50/80</t>
  </si>
  <si>
    <t xml:space="preserve">PEĆ KOMORNA MK-P-32</t>
  </si>
  <si>
    <t xml:space="preserve">TVRDOMJER STABILNI ROCKWEL</t>
  </si>
  <si>
    <t xml:space="preserve">PEĆ JAMSKA JPN-60-100</t>
  </si>
  <si>
    <t xml:space="preserve">PEĆ JAMSKA ELEKTRO JP-80/135</t>
  </si>
  <si>
    <t xml:space="preserve">BOJLER 80L</t>
  </si>
  <si>
    <r>
      <rPr>
        <sz val="10"/>
        <rFont val="Arial"/>
        <family val="2"/>
        <charset val="238"/>
      </rPr>
      <t xml:space="preserve">PREŠA</t>
    </r>
    <r>
      <rPr>
        <sz val="9"/>
        <rFont val="Arial"/>
        <family val="2"/>
        <charset val="238"/>
      </rPr>
      <t xml:space="preserve">, MAT HOP 100/200, 07267</t>
    </r>
  </si>
  <si>
    <t xml:space="preserve">F657</t>
  </si>
  <si>
    <t xml:space="preserve">PRETVARAČ za elek.-lučno zavarivanje, KHD 375</t>
  </si>
  <si>
    <r>
      <rPr>
        <sz val="10"/>
        <rFont val="Arial"/>
        <family val="2"/>
        <charset val="238"/>
      </rPr>
      <t xml:space="preserve">APARAT za zavarivanje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pr. FastMig X450, pr. KEMPPI</t>
    </r>
  </si>
  <si>
    <t xml:space="preserve">IZVOR struje za zavarivanje, FASTMIG</t>
  </si>
  <si>
    <r>
      <rPr>
        <sz val="10"/>
        <rFont val="Arial"/>
        <family val="2"/>
        <charset val="238"/>
      </rPr>
      <t xml:space="preserve">VAGA od 1000 kg, </t>
    </r>
    <r>
      <rPr>
        <sz val="9"/>
        <rFont val="Arial"/>
        <family val="2"/>
        <charset val="238"/>
      </rPr>
      <t xml:space="preserve">7852</t>
    </r>
  </si>
  <si>
    <t xml:space="preserve">DIZALICA MOSNA, ručna, nos. 3T</t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</si>
  <si>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22/5t /15m</t>
    </r>
  </si>
  <si>
    <t xml:space="preserve">VENTILATOR AKSIALNI tip. AVC</t>
  </si>
  <si>
    <t xml:space="preserve">VENTILATOR CENTRIFUGALNI</t>
  </si>
  <si>
    <t xml:space="preserve">STANICA REDUKCIONA za butan</t>
  </si>
  <si>
    <t xml:space="preserve">ORMAR, metalni za čuvanje alata</t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</si>
  <si>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47/8T /15m</t>
    </r>
  </si>
  <si>
    <t xml:space="preserve">KOMORA za pjeskarenje iz ljevaonice</t>
  </si>
  <si>
    <t xml:space="preserve">KADA za kemijsko čišćenje cijevi</t>
  </si>
  <si>
    <r>
      <rPr>
        <sz val="10"/>
        <rFont val="Arial"/>
        <family val="2"/>
        <charset val="238"/>
      </rPr>
      <t xml:space="preserve">PEĆ ZA ODŽARIVANJE</t>
    </r>
    <r>
      <rPr>
        <sz val="9"/>
        <rFont val="Arial"/>
        <family val="2"/>
        <charset val="238"/>
      </rPr>
      <t xml:space="preserve">, pr. Zavod ZTT</t>
    </r>
  </si>
  <si>
    <t xml:space="preserve">ORMAR limeni za nacrte</t>
  </si>
  <si>
    <t xml:space="preserve">F660</t>
  </si>
  <si>
    <r>
      <rPr>
        <sz val="10"/>
        <rFont val="Arial"/>
        <family val="2"/>
        <charset val="238"/>
      </rPr>
      <t xml:space="preserve">BRUSILICA</t>
    </r>
    <r>
      <rPr>
        <sz val="9"/>
        <rFont val="Arial"/>
        <family val="2"/>
        <charset val="238"/>
      </rPr>
      <t xml:space="preserve">, tip. BS-8, za tokarilicu</t>
    </r>
  </si>
  <si>
    <r>
      <rPr>
        <sz val="10"/>
        <rFont val="Arial"/>
        <family val="2"/>
        <charset val="238"/>
      </rPr>
      <t xml:space="preserve">STOL-OKRETNI</t>
    </r>
    <r>
      <rPr>
        <sz val="9"/>
        <rFont val="Arial"/>
        <family val="2"/>
        <charset val="238"/>
      </rPr>
      <t xml:space="preserve"> za obradu, </t>
    </r>
    <r>
      <rPr>
        <sz val="8"/>
        <rFont val="Arial"/>
        <family val="2"/>
        <charset val="238"/>
      </rPr>
      <t xml:space="preserve">tip. ISO 16, pr. TOS Varndorf  (2x)</t>
    </r>
  </si>
  <si>
    <r>
      <rPr>
        <sz val="10"/>
        <rFont val="Arial"/>
        <family val="2"/>
        <charset val="238"/>
      </rPr>
      <t xml:space="preserve">TOKARILICA</t>
    </r>
    <r>
      <rPr>
        <sz val="9"/>
        <rFont val="Arial"/>
        <family val="2"/>
        <charset val="238"/>
      </rPr>
      <t xml:space="preserve">, tip. SUT 160 T/200, pr. Škoda</t>
    </r>
  </si>
  <si>
    <r>
      <rPr>
        <sz val="10"/>
        <rFont val="Arial"/>
        <family val="2"/>
        <charset val="238"/>
      </rPr>
      <t xml:space="preserve">BRUSILICA </t>
    </r>
    <r>
      <rPr>
        <sz val="9"/>
        <rFont val="Arial"/>
        <family val="2"/>
        <charset val="238"/>
      </rPr>
      <t xml:space="preserve">za valjsko bruš.</t>
    </r>
    <r>
      <rPr>
        <sz val="8"/>
        <rFont val="Arial"/>
        <family val="2"/>
        <charset val="238"/>
      </rPr>
      <t xml:space="preserve">, tip. SAX 1200/2, m. K.M.Stadt</t>
    </r>
  </si>
  <si>
    <t xml:space="preserve">PEĆ LABOR. LP-08 DO 1200 C sa tajmerom</t>
  </si>
  <si>
    <r>
      <rPr>
        <sz val="10"/>
        <rFont val="Arial"/>
        <family val="2"/>
        <charset val="238"/>
      </rPr>
      <t xml:space="preserve">STROJ </t>
    </r>
    <r>
      <rPr>
        <sz val="9"/>
        <rFont val="Arial"/>
        <family val="2"/>
        <charset val="238"/>
      </rPr>
      <t xml:space="preserve">za podešavanje alata</t>
    </r>
    <r>
      <rPr>
        <sz val="8"/>
        <rFont val="Arial"/>
        <family val="2"/>
        <charset val="238"/>
      </rPr>
      <t xml:space="preserve">, tip. Saturn 1 – SAT 1 V720, pr. Zoller&amp;Co.</t>
    </r>
  </si>
  <si>
    <t xml:space="preserve">SEPARATOR ULJA</t>
  </si>
  <si>
    <r>
      <rPr>
        <sz val="10"/>
        <rFont val="Arial"/>
        <family val="2"/>
        <charset val="238"/>
      </rPr>
      <t xml:space="preserve">HORIZ. OBRADNI CENTAR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Storm 1400, pr. Mandelli</t>
    </r>
  </si>
  <si>
    <t xml:space="preserve">TANKVANA PALETNA za otpadna ulja</t>
  </si>
  <si>
    <t xml:space="preserve">MONITOR, Samsung, SM763MB</t>
  </si>
  <si>
    <t xml:space="preserve">SWITCH COR GSW8, 8x10/100/1000</t>
  </si>
  <si>
    <t xml:space="preserve">AUTOMAT ZA PRANJE/SUŠENJE, mod. 400E</t>
  </si>
  <si>
    <t xml:space="preserve">CRPKA KRILNA REXROTH PV7-1X/16</t>
  </si>
  <si>
    <t xml:space="preserve">ORMAR, radionički sa policama, limeni</t>
  </si>
  <si>
    <t xml:space="preserve">AGREGAT - CRPKA ZM 1002-S2+100</t>
  </si>
  <si>
    <t xml:space="preserve">PREŠA, hidraulična, HP 20, 15007264</t>
  </si>
  <si>
    <t xml:space="preserve">PILA ELEK. ručna, 5/8 07345</t>
  </si>
  <si>
    <t xml:space="preserve">CRTALO PARALELNO 07954</t>
  </si>
  <si>
    <t xml:space="preserve">ŠKRIPAC, strojarski, 255mm 79491</t>
  </si>
  <si>
    <t xml:space="preserve">PREŠA, hidraulična, HP 20, 20007263</t>
  </si>
  <si>
    <t xml:space="preserve">GLAVA STEZNA FG 45 82096</t>
  </si>
  <si>
    <t xml:space="preserve">GLAVA UNIV. ZA PLINSKO TAK. 82161</t>
  </si>
  <si>
    <t xml:space="preserve">GLAVA UNIVERZALNA 82162</t>
  </si>
  <si>
    <t xml:space="preserve">TOKARILICA 5337, automat glave</t>
  </si>
  <si>
    <t xml:space="preserve">TOKARILICA 5347, univerzalna glava</t>
  </si>
  <si>
    <t xml:space="preserve">STOL, okretni, 850x850, 07543</t>
  </si>
  <si>
    <t xml:space="preserve">TERMOSTAT ULTRA, 07753</t>
  </si>
  <si>
    <t xml:space="preserve">VAGA PRECIZNA AUTOMAT. 07853</t>
  </si>
  <si>
    <t xml:space="preserve">STOL MAGNETSK,I 6235</t>
  </si>
  <si>
    <t xml:space="preserve">MIKROSKOP 'LABOVAL' 07852</t>
  </si>
  <si>
    <t xml:space="preserve">KONTROL.ZA HRAPAVOST 403</t>
  </si>
  <si>
    <t xml:space="preserve">PLATFORMA MOTORNA KOV 400</t>
  </si>
  <si>
    <t xml:space="preserve">PLATFORMA MOT. LJEV. ŽELJ. 401</t>
  </si>
  <si>
    <t xml:space="preserve">PREŠA, hidraulična, 796</t>
  </si>
  <si>
    <t xml:space="preserve">APARAT ZA ISPIT. PUKOTINA 546</t>
  </si>
  <si>
    <t xml:space="preserve">APARAT ZA ISPIT. HRAPAVOSTI 1022</t>
  </si>
  <si>
    <t xml:space="preserve">PEĆ SILITNA 1054</t>
  </si>
  <si>
    <t xml:space="preserve">PC, kućište, HP DX7300 MT E6300</t>
  </si>
  <si>
    <t xml:space="preserve">GRIJAČ ZRAKA električni, tip. 4EG5</t>
  </si>
  <si>
    <t xml:space="preserve">KUTIJA ZA CEMENTACIJU PN210082</t>
  </si>
  <si>
    <t xml:space="preserve">NAPRAVA ZA LIST MORMILA  PN 210070</t>
  </si>
  <si>
    <t xml:space="preserve">KUTIJA ZA CEMENTACIJU (PN 210062)</t>
  </si>
  <si>
    <t xml:space="preserve">SURTRONIC 25 UREĐAJ ZA MJ. HR.IZ13.</t>
  </si>
  <si>
    <t xml:space="preserve">SWITCH 1x10/100/1000 + 7X1900</t>
  </si>
  <si>
    <t xml:space="preserve">CRPKA KRILNA REXROTH PV7-1X/16-20RE</t>
  </si>
  <si>
    <r>
      <rPr>
        <sz val="10"/>
        <rFont val="Arial"/>
        <family val="2"/>
        <charset val="238"/>
      </rPr>
      <t xml:space="preserve">DIZALICA, nos. 3T </t>
    </r>
    <r>
      <rPr>
        <sz val="8"/>
        <rFont val="Arial"/>
        <family val="2"/>
        <charset val="238"/>
      </rPr>
      <t xml:space="preserve">(stari Ib.1833)</t>
    </r>
  </si>
  <si>
    <t xml:space="preserve">BRUSILICA za brušenje spiralnih svrdala</t>
  </si>
  <si>
    <t xml:space="preserve">OŠTRILICA za kružne pile</t>
  </si>
  <si>
    <t xml:space="preserve">OŠTRILICA UNIVERZALNA za alat</t>
  </si>
  <si>
    <t xml:space="preserve">OŠTRILICA BRUSILICA, alatna</t>
  </si>
  <si>
    <t xml:space="preserve">OŠTRILICA noževa od tvrdog metala</t>
  </si>
  <si>
    <t xml:space="preserve">BRUSILICA, električna</t>
  </si>
  <si>
    <t xml:space="preserve">ORMAR, željezni, veliki</t>
  </si>
  <si>
    <r>
      <rPr>
        <sz val="10"/>
        <rFont val="Arial"/>
        <family val="2"/>
        <charset val="238"/>
      </rPr>
      <t xml:space="preserve">CNC-TOKARILICA</t>
    </r>
    <r>
      <rPr>
        <sz val="9"/>
        <rFont val="Arial"/>
        <family val="2"/>
        <charset val="238"/>
      </rPr>
      <t xml:space="preserve">, tip. PUMA 400 LB, pr. Daewoo</t>
    </r>
  </si>
  <si>
    <t xml:space="preserve">GLODALO F2234.B.125.Z07.10</t>
  </si>
  <si>
    <t xml:space="preserve">DORMER SVRDLO</t>
  </si>
  <si>
    <t xml:space="preserve">F663</t>
  </si>
  <si>
    <r>
      <rPr>
        <sz val="10"/>
        <rFont val="Arial"/>
        <family val="2"/>
        <charset val="238"/>
      </rPr>
      <t xml:space="preserve">UREĐAJ za ručno brušenje, </t>
    </r>
    <r>
      <rPr>
        <sz val="8"/>
        <rFont val="Arial"/>
        <family val="2"/>
        <charset val="238"/>
      </rPr>
      <t xml:space="preserve">PR 500</t>
    </r>
  </si>
  <si>
    <r>
      <rPr>
        <sz val="10"/>
        <rFont val="Arial"/>
        <family val="2"/>
        <charset val="238"/>
      </rPr>
      <t xml:space="preserve">RADIJALNA BUŠILICA, </t>
    </r>
    <r>
      <rPr>
        <sz val="8"/>
        <rFont val="Arial"/>
        <family val="2"/>
        <charset val="238"/>
      </rPr>
      <t xml:space="preserve">tip. PR 60 mm</t>
    </r>
  </si>
  <si>
    <r>
      <rPr>
        <sz val="10"/>
        <rFont val="Arial"/>
        <family val="2"/>
        <charset val="238"/>
      </rPr>
      <t xml:space="preserve">DIZALICA DEMAG, </t>
    </r>
    <r>
      <rPr>
        <sz val="8"/>
        <rFont val="Arial"/>
        <family val="2"/>
        <charset val="238"/>
      </rPr>
      <t xml:space="preserve">nos. 1,5T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</si>
  <si>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32/8T /19,03m, pr. MIN</t>
    </r>
  </si>
  <si>
    <r>
      <rPr>
        <sz val="10"/>
        <rFont val="Arial"/>
        <family val="2"/>
        <charset val="238"/>
      </rPr>
      <t xml:space="preserve">LIFT, teretni, nos. 2.400 kg, </t>
    </r>
    <r>
      <rPr>
        <sz val="8"/>
        <rFont val="Arial"/>
        <family val="2"/>
        <charset val="238"/>
      </rPr>
      <t xml:space="preserve">pr. Končar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</si>
  <si>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8T/10,2m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</si>
  <si>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7T/10,2m</t>
    </r>
  </si>
  <si>
    <t xml:space="preserve">DIZALICA MOSNA EL., nos. 1,5T</t>
  </si>
  <si>
    <t xml:space="preserve">KLUPA, tokarska</t>
  </si>
  <si>
    <t xml:space="preserve">BUŠILICA za fino bušenje</t>
  </si>
  <si>
    <t xml:space="preserve">DUBILICA za zupčanike</t>
  </si>
  <si>
    <r>
      <rPr>
        <sz val="10"/>
        <rFont val="Arial"/>
        <family val="2"/>
        <charset val="238"/>
      </rPr>
      <t xml:space="preserve">KARUSEL 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2K 350, pr. SCHIESS</t>
    </r>
  </si>
  <si>
    <t xml:space="preserve">GLODALICA za izradu konusnih zupčanika</t>
  </si>
  <si>
    <t xml:space="preserve">BRUSILICA za ravno brušenje</t>
  </si>
  <si>
    <r>
      <rPr>
        <sz val="10"/>
        <rFont val="Arial"/>
        <family val="2"/>
        <charset val="238"/>
      </rPr>
      <t xml:space="preserve">BRUSILICA </t>
    </r>
    <r>
      <rPr>
        <sz val="9"/>
        <rFont val="Arial"/>
        <family val="2"/>
        <charset val="238"/>
      </rPr>
      <t xml:space="preserve">za okr. bruš., sa crpkom, tip. LS 1500x350, pr. Kaeser</t>
    </r>
  </si>
  <si>
    <r>
      <rPr>
        <sz val="10"/>
        <rFont val="Arial"/>
        <family val="2"/>
        <charset val="238"/>
      </rPr>
      <t xml:space="preserve">AGREGAT, rotacioni,</t>
    </r>
    <r>
      <rPr>
        <sz val="8"/>
        <rFont val="Arial"/>
        <family val="2"/>
        <charset val="238"/>
      </rPr>
      <t xml:space="preserve"> 450 A</t>
    </r>
  </si>
  <si>
    <t xml:space="preserve">DIZALICA VEDA DEMAG sa mačkom</t>
  </si>
  <si>
    <r>
      <rPr>
        <sz val="10"/>
        <rFont val="Arial"/>
        <family val="2"/>
        <charset val="238"/>
      </rPr>
      <t xml:space="preserve">TOKARILICA</t>
    </r>
    <r>
      <rPr>
        <sz val="9"/>
        <rFont val="Arial"/>
        <family val="2"/>
        <charset val="238"/>
      </rPr>
      <t xml:space="preserve">, tip. OVK, pr. Morando  </t>
    </r>
    <r>
      <rPr>
        <sz val="8"/>
        <rFont val="Arial"/>
        <family val="2"/>
        <charset val="238"/>
      </rPr>
      <t xml:space="preserve">(3x)</t>
    </r>
  </si>
  <si>
    <r>
      <rPr>
        <sz val="10"/>
        <rFont val="Arial"/>
        <family val="2"/>
        <charset val="238"/>
      </rPr>
      <t xml:space="preserve">TOKARILICA</t>
    </r>
    <r>
      <rPr>
        <sz val="9"/>
        <rFont val="Arial"/>
        <family val="2"/>
        <charset val="238"/>
      </rPr>
      <t xml:space="preserve">, tip. PR 57x800, pr. Morando</t>
    </r>
  </si>
  <si>
    <t xml:space="preserve">GLODALICA za zupčanike</t>
  </si>
  <si>
    <r>
      <rPr>
        <sz val="10"/>
        <rFont val="Arial"/>
        <family val="2"/>
        <charset val="238"/>
      </rPr>
      <t xml:space="preserve">VERTIKALNA GLODALICA</t>
    </r>
    <r>
      <rPr>
        <sz val="8"/>
        <rFont val="Arial"/>
        <family val="2"/>
        <charset val="238"/>
      </rPr>
      <t xml:space="preserve">, kpl.</t>
    </r>
  </si>
  <si>
    <r>
      <rPr>
        <sz val="10"/>
        <rFont val="Arial"/>
        <family val="2"/>
        <charset val="238"/>
      </rPr>
      <t xml:space="preserve">HORIZ. BUŠILICA-GLODALICA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AMB 161, pr. Graffenstaden</t>
    </r>
  </si>
  <si>
    <t xml:space="preserve">BRUSILICA</t>
  </si>
  <si>
    <t xml:space="preserve">DIZALICA za tlačionicu, nos. 7T</t>
  </si>
  <si>
    <t xml:space="preserve">ŠKARE, ručne, univerzalne</t>
  </si>
  <si>
    <r>
      <rPr>
        <sz val="10"/>
        <rFont val="Arial"/>
        <family val="2"/>
        <charset val="238"/>
      </rPr>
      <t xml:space="preserve">RADIJALNA BUŠILICA  </t>
    </r>
    <r>
      <rPr>
        <sz val="8"/>
        <rFont val="Arial"/>
        <family val="2"/>
        <charset val="238"/>
      </rPr>
      <t xml:space="preserve">(3x)</t>
    </r>
  </si>
  <si>
    <t xml:space="preserve">AGREGAT za zavarivanje</t>
  </si>
  <si>
    <t xml:space="preserve">BRUSILICA TATAR</t>
  </si>
  <si>
    <t xml:space="preserve">BUŠILICA za bušenje rupa</t>
  </si>
  <si>
    <r>
      <rPr>
        <sz val="10"/>
        <rFont val="Arial"/>
        <family val="2"/>
        <charset val="238"/>
      </rPr>
      <t xml:space="preserve">UNIVERZALNA TOKARILICA</t>
    </r>
    <r>
      <rPr>
        <sz val="8"/>
        <rFont val="Arial"/>
        <family val="2"/>
        <charset val="238"/>
      </rPr>
      <t xml:space="preserve">, mod. TES 4-4500, pr. PM.</t>
    </r>
  </si>
  <si>
    <t xml:space="preserve">DIZALICA, VEDA</t>
  </si>
  <si>
    <r>
      <rPr>
        <sz val="10"/>
        <rFont val="Arial"/>
        <family val="2"/>
        <charset val="238"/>
      </rPr>
      <t xml:space="preserve">VOZNO VITLO, EL. VEDAM, </t>
    </r>
    <r>
      <rPr>
        <sz val="8"/>
        <rFont val="Arial"/>
        <family val="2"/>
        <charset val="238"/>
      </rPr>
      <t xml:space="preserve">nos. 5T</t>
    </r>
  </si>
  <si>
    <r>
      <rPr>
        <sz val="10"/>
        <rFont val="Arial"/>
        <family val="2"/>
        <charset val="238"/>
      </rPr>
      <t xml:space="preserve">UNIVERZ. ALATNA GLODALICA</t>
    </r>
    <r>
      <rPr>
        <sz val="8"/>
        <rFont val="Arial"/>
        <family val="2"/>
        <charset val="238"/>
      </rPr>
      <t xml:space="preserve">, tip. ALG 200, pr. PM.</t>
    </r>
  </si>
  <si>
    <t xml:space="preserve">UNIVERZALNA TOKARILICA</t>
  </si>
  <si>
    <t xml:space="preserve">SVRDLO, TOP CUT</t>
  </si>
  <si>
    <r>
      <rPr>
        <sz val="10"/>
        <rFont val="Arial"/>
        <family val="2"/>
        <charset val="238"/>
      </rPr>
      <t xml:space="preserve">BUŠILICA, stolna, </t>
    </r>
    <r>
      <rPr>
        <sz val="9"/>
        <rFont val="Arial"/>
        <family val="2"/>
        <charset val="238"/>
      </rPr>
      <t xml:space="preserve">tip. BT 10</t>
    </r>
  </si>
  <si>
    <t xml:space="preserve">STROJ za honovanje, SUNNEN</t>
  </si>
  <si>
    <r>
      <rPr>
        <sz val="10"/>
        <rFont val="Arial"/>
        <family val="2"/>
        <charset val="238"/>
      </rPr>
      <t xml:space="preserve">PILA za metal, </t>
    </r>
    <r>
      <rPr>
        <sz val="8"/>
        <rFont val="Arial"/>
        <family val="2"/>
        <charset val="238"/>
      </rPr>
      <t xml:space="preserve">mod. LKH 310</t>
    </r>
  </si>
  <si>
    <t xml:space="preserve">AGREGAT, pneum. jedin. za superfinu obradu</t>
  </si>
  <si>
    <t xml:space="preserve">DIZALICA, stupna, pneumatska</t>
  </si>
  <si>
    <t xml:space="preserve">PREŠA, 50 T</t>
  </si>
  <si>
    <t xml:space="preserve">STROJ za brušenje centara</t>
  </si>
  <si>
    <t xml:space="preserve">BRUSILICA, hidraulična, mod. SU 208</t>
  </si>
  <si>
    <t xml:space="preserve">BRUSILICA, hidraulična</t>
  </si>
  <si>
    <t xml:space="preserve">BRUSILICA za okruglo brušenje</t>
  </si>
  <si>
    <t xml:space="preserve">UREĐAJ SUPERFINIŠ SUPFINA</t>
  </si>
  <si>
    <t xml:space="preserve">CRPKA VISOKOTLAČ. ZRAČ. ZA ISPIT</t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</si>
  <si>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80/20T/ 19m, pr. Metalna</t>
    </r>
  </si>
  <si>
    <r>
      <rPr>
        <sz val="10"/>
        <rFont val="Arial"/>
        <family val="2"/>
        <charset val="238"/>
      </rPr>
      <t xml:space="preserve">PORTALNA GLODALICA</t>
    </r>
    <r>
      <rPr>
        <sz val="8"/>
        <rFont val="Arial"/>
        <family val="2"/>
        <charset val="238"/>
      </rPr>
      <t xml:space="preserve">, tip. 24-10 FP 450, m. W.Coburg</t>
    </r>
  </si>
  <si>
    <r>
      <rPr>
        <sz val="10"/>
        <rFont val="Arial"/>
        <family val="2"/>
        <charset val="238"/>
      </rPr>
      <t xml:space="preserve">PREŠA, hidraulična, </t>
    </r>
    <r>
      <rPr>
        <sz val="9"/>
        <rFont val="Arial"/>
        <family val="2"/>
        <charset val="238"/>
      </rPr>
      <t xml:space="preserve">HP-160</t>
    </r>
  </si>
  <si>
    <t xml:space="preserve">VENTILATOR KROVNI SV-3 sa ELMO</t>
  </si>
  <si>
    <t xml:space="preserve">CRPKA ZUPČASTA, mod. ZP-4</t>
  </si>
  <si>
    <t xml:space="preserve">STROJ ZA ISPIRANJE DJELOVA MP</t>
  </si>
  <si>
    <t xml:space="preserve">KONZOLNA DIZALICA</t>
  </si>
  <si>
    <r>
      <rPr>
        <sz val="10"/>
        <rFont val="Arial"/>
        <family val="2"/>
        <charset val="238"/>
      </rPr>
      <t xml:space="preserve">STROJ za rezanje metala - </t>
    </r>
    <r>
      <rPr>
        <sz val="8"/>
        <rFont val="Arial"/>
        <family val="2"/>
        <charset val="238"/>
      </rPr>
      <t xml:space="preserve">MAJA</t>
    </r>
  </si>
  <si>
    <r>
      <rPr>
        <sz val="10"/>
        <rFont val="Arial"/>
        <family val="2"/>
        <charset val="238"/>
      </rPr>
      <t xml:space="preserve">TOKARILICA, </t>
    </r>
    <r>
      <rPr>
        <sz val="9"/>
        <rFont val="Arial"/>
        <family val="2"/>
        <charset val="238"/>
      </rPr>
      <t xml:space="preserve">mod. D 480/1500</t>
    </r>
  </si>
  <si>
    <t xml:space="preserve">BRUSILICA za okruglo brušenje, C-12</t>
  </si>
  <si>
    <r>
      <rPr>
        <sz val="10"/>
        <rFont val="Arial"/>
        <family val="2"/>
        <charset val="238"/>
      </rPr>
      <t xml:space="preserve">UNIVERZ. HORIZONT. GLODALICA, </t>
    </r>
    <r>
      <rPr>
        <sz val="8"/>
        <rFont val="Arial"/>
        <family val="2"/>
        <charset val="238"/>
      </rPr>
      <t xml:space="preserve">pr. VAG</t>
    </r>
  </si>
  <si>
    <r>
      <rPr>
        <sz val="10"/>
        <rFont val="Arial"/>
        <family val="2"/>
        <charset val="238"/>
      </rPr>
      <t xml:space="preserve">STUPNA KONZOLNA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ESKDT, nos. 1.000 kg</t>
    </r>
  </si>
  <si>
    <t xml:space="preserve">BRUSILICA za alat</t>
  </si>
  <si>
    <t xml:space="preserve">BRUSILICA, diamant</t>
  </si>
  <si>
    <t xml:space="preserve">ORMAR, drveni za nacrte</t>
  </si>
  <si>
    <t xml:space="preserve">BRUSILICA za oštrenje alata</t>
  </si>
  <si>
    <t xml:space="preserve">ORMAR, limeni, 4-krilni</t>
  </si>
  <si>
    <r>
      <rPr>
        <sz val="10"/>
        <rFont val="Arial"/>
        <family val="2"/>
        <charset val="238"/>
      </rPr>
      <t xml:space="preserve">VERTIKALNA TOKARILICA</t>
    </r>
    <r>
      <rPr>
        <sz val="8"/>
        <rFont val="Arial"/>
        <family val="2"/>
        <charset val="238"/>
      </rPr>
      <t xml:space="preserve">, tip. TG20/2500, pr. M.Carnaghi</t>
    </r>
  </si>
  <si>
    <t xml:space="preserve">BRUSILICE za rubove, 08403</t>
  </si>
  <si>
    <t xml:space="preserve">VERTIKALNA DIOBENA GLAVA 07231</t>
  </si>
  <si>
    <r>
      <rPr>
        <sz val="10"/>
        <rFont val="Arial"/>
        <family val="2"/>
        <charset val="238"/>
      </rPr>
      <t xml:space="preserve">STUPNA DIZALICA, pneumatska, </t>
    </r>
    <r>
      <rPr>
        <sz val="9"/>
        <rFont val="Arial"/>
        <family val="2"/>
        <charset val="238"/>
      </rPr>
      <t xml:space="preserve">07242</t>
    </r>
  </si>
  <si>
    <r>
      <rPr>
        <sz val="10"/>
        <rFont val="Arial"/>
        <family val="2"/>
        <charset val="238"/>
      </rPr>
      <t xml:space="preserve">PREŠA, hidraulična, </t>
    </r>
    <r>
      <rPr>
        <sz val="9"/>
        <rFont val="Arial"/>
        <family val="2"/>
        <charset val="238"/>
      </rPr>
      <t xml:space="preserve">50/200 07263  </t>
    </r>
    <r>
      <rPr>
        <sz val="8"/>
        <rFont val="Arial"/>
        <family val="2"/>
        <charset val="238"/>
      </rPr>
      <t xml:space="preserve">(2x)</t>
    </r>
  </si>
  <si>
    <r>
      <rPr>
        <sz val="10"/>
        <rFont val="Arial"/>
        <family val="2"/>
        <charset val="238"/>
      </rPr>
      <t xml:space="preserve">PREŠA, materijala, </t>
    </r>
    <r>
      <rPr>
        <sz val="9"/>
        <rFont val="Arial"/>
        <family val="2"/>
        <charset val="238"/>
      </rPr>
      <t xml:space="preserve">HOP 100/200, 07267</t>
    </r>
  </si>
  <si>
    <t xml:space="preserve">CRPKA ZRAČNA HIDRAUL. 07273</t>
  </si>
  <si>
    <t xml:space="preserve">KRUŽNA PILA, ručna, RUKART 07345</t>
  </si>
  <si>
    <t xml:space="preserve">BRUSILICA, elektr., SUPER 08389</t>
  </si>
  <si>
    <t xml:space="preserve">BRUSILICA za bridove 08403</t>
  </si>
  <si>
    <t xml:space="preserve">STOL PODESIVNI STEZNI 79208</t>
  </si>
  <si>
    <r>
      <rPr>
        <sz val="10"/>
        <rFont val="Arial"/>
        <family val="2"/>
        <charset val="238"/>
      </rPr>
      <t xml:space="preserve">CRPKA ASEA, </t>
    </r>
    <r>
      <rPr>
        <sz val="8"/>
        <rFont val="Arial"/>
        <family val="2"/>
        <charset val="238"/>
      </rPr>
      <t xml:space="preserve">tip. CP 8 79356</t>
    </r>
  </si>
  <si>
    <t xml:space="preserve">APARAT ZA PNEUMAT. UVLAČ. 79360</t>
  </si>
  <si>
    <t xml:space="preserve">ŠKRIPAC STROJNI 255 mm 79491</t>
  </si>
  <si>
    <t xml:space="preserve">ŠKRIPAC STROJNI 150 NAC 79498</t>
  </si>
  <si>
    <t xml:space="preserve">VRETENO za bušilicu, 7651 81745</t>
  </si>
  <si>
    <t xml:space="preserve">GLAVA za uvaljivanje navoja, 82092</t>
  </si>
  <si>
    <t xml:space="preserve">UNIVERZALNA STEZNA GLAVA 82175</t>
  </si>
  <si>
    <t xml:space="preserve">TRNOVI STEZNI za bušenje, 83900</t>
  </si>
  <si>
    <r>
      <rPr>
        <sz val="10"/>
        <rFont val="Arial"/>
        <family val="2"/>
        <charset val="238"/>
      </rPr>
      <t xml:space="preserve">VRETENO BRUSNO, </t>
    </r>
    <r>
      <rPr>
        <sz val="8"/>
        <rFont val="Arial"/>
        <family val="2"/>
        <charset val="238"/>
      </rPr>
      <t xml:space="preserve">SJ 100x400 83906</t>
    </r>
  </si>
  <si>
    <r>
      <rPr>
        <sz val="10"/>
        <rFont val="Arial"/>
        <family val="2"/>
        <charset val="238"/>
      </rPr>
      <t xml:space="preserve">VRETENO BRUSNO, </t>
    </r>
    <r>
      <rPr>
        <sz val="8"/>
        <rFont val="Arial"/>
        <family val="2"/>
        <charset val="238"/>
      </rPr>
      <t xml:space="preserve">SA 3660.63083912</t>
    </r>
  </si>
  <si>
    <r>
      <rPr>
        <sz val="10"/>
        <rFont val="Arial"/>
        <family val="2"/>
        <charset val="238"/>
      </rPr>
      <t xml:space="preserve">VRETENO BRUSNO, </t>
    </r>
    <r>
      <rPr>
        <sz val="8"/>
        <rFont val="Arial"/>
        <family val="2"/>
        <charset val="238"/>
      </rPr>
      <t xml:space="preserve">SA 3680.63083914</t>
    </r>
  </si>
  <si>
    <r>
      <rPr>
        <sz val="10"/>
        <rFont val="Arial"/>
        <family val="2"/>
        <charset val="238"/>
      </rPr>
      <t xml:space="preserve">VRETENO BRUSNO, </t>
    </r>
    <r>
      <rPr>
        <sz val="8"/>
        <rFont val="Arial"/>
        <family val="2"/>
        <charset val="238"/>
      </rPr>
      <t xml:space="preserve">SA 45.25083918</t>
    </r>
  </si>
  <si>
    <r>
      <rPr>
        <sz val="10"/>
        <rFont val="Arial"/>
        <family val="2"/>
        <charset val="238"/>
      </rPr>
      <t xml:space="preserve">VRETENO BRUSNO, </t>
    </r>
    <r>
      <rPr>
        <sz val="8"/>
        <rFont val="Arial"/>
        <family val="2"/>
        <charset val="238"/>
      </rPr>
      <t xml:space="preserve">SA 100.40083919</t>
    </r>
  </si>
  <si>
    <r>
      <rPr>
        <sz val="10"/>
        <rFont val="Arial"/>
        <family val="2"/>
        <charset val="238"/>
      </rPr>
      <t xml:space="preserve">VRETENO BRUSNO, </t>
    </r>
    <r>
      <rPr>
        <sz val="8"/>
        <rFont val="Arial"/>
        <family val="2"/>
        <charset val="238"/>
      </rPr>
      <t xml:space="preserve">SA100.63083920</t>
    </r>
  </si>
  <si>
    <r>
      <rPr>
        <sz val="10"/>
        <rFont val="Arial"/>
        <family val="2"/>
        <charset val="238"/>
      </rPr>
      <t xml:space="preserve">VRETENO BRUSNO, </t>
    </r>
    <r>
      <rPr>
        <sz val="8"/>
        <rFont val="Arial"/>
        <family val="2"/>
        <charset val="238"/>
      </rPr>
      <t xml:space="preserve">SA 60x315 83921</t>
    </r>
  </si>
  <si>
    <t xml:space="preserve">AUTOMATIKA za honovanje,  84481</t>
  </si>
  <si>
    <t xml:space="preserve">AUTOMATSKE GLAVE 5336</t>
  </si>
  <si>
    <t xml:space="preserve">AUTOMATSKE GLAVE 5335</t>
  </si>
  <si>
    <t xml:space="preserve">STOL univerzalni, diobeni, 07235</t>
  </si>
  <si>
    <t xml:space="preserve">RADIONIČKI VELIKI MIKROS. 84549</t>
  </si>
  <si>
    <t xml:space="preserve">ISTRUMENT sa skalom, 83247</t>
  </si>
  <si>
    <t xml:space="preserve">ALAT za honovanje, 7904, kpl.</t>
  </si>
  <si>
    <t xml:space="preserve">TELEFON ATA 62-K</t>
  </si>
  <si>
    <t xml:space="preserve">PEĆ, termoakumulaciona, AEG 3 kW</t>
  </si>
  <si>
    <t xml:space="preserve">TELEFON ATA 62</t>
  </si>
  <si>
    <t xml:space="preserve">ORMAR ROLO, limeni</t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</si>
  <si>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40/10T /19,03m, pr. Omis</t>
    </r>
  </si>
  <si>
    <r>
      <rPr>
        <sz val="10"/>
        <rFont val="Arial"/>
        <family val="2"/>
        <charset val="238"/>
      </rPr>
      <t xml:space="preserve">CNC-TOKARILICA</t>
    </r>
    <r>
      <rPr>
        <sz val="8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 xml:space="preserve">tip. Leonard 60/1800, pr. Safop</t>
    </r>
  </si>
  <si>
    <r>
      <rPr>
        <sz val="10"/>
        <rFont val="Arial"/>
        <family val="2"/>
        <charset val="238"/>
      </rPr>
      <t xml:space="preserve">CNC-GLODALICA I BUŠILICA</t>
    </r>
    <r>
      <rPr>
        <sz val="8"/>
        <rFont val="Arial"/>
        <family val="2"/>
        <charset val="238"/>
      </rPr>
      <t xml:space="preserve">, tip. WF 13, pr. Fermat</t>
    </r>
  </si>
  <si>
    <t xml:space="preserve">ZAŠTITNA OGRADA oko SAFOP-a</t>
  </si>
  <si>
    <t xml:space="preserve">F664</t>
  </si>
  <si>
    <t xml:space="preserve">DIZALICA MOSNA EL. nos. 1,5T</t>
  </si>
  <si>
    <t xml:space="preserve">DIZALICA VEDA, nos. 3T</t>
  </si>
  <si>
    <r>
      <rPr>
        <sz val="10"/>
        <rFont val="Arial"/>
        <family val="2"/>
        <charset val="238"/>
      </rPr>
      <t xml:space="preserve">STROJ za ocrtavanje, </t>
    </r>
    <r>
      <rPr>
        <sz val="9"/>
        <rFont val="Arial"/>
        <family val="2"/>
        <charset val="238"/>
      </rPr>
      <t xml:space="preserve">BETA 3D</t>
    </r>
  </si>
  <si>
    <r>
      <rPr>
        <sz val="10"/>
        <rFont val="Arial"/>
        <family val="2"/>
        <charset val="238"/>
      </rPr>
      <t xml:space="preserve">VERTIKALNA GLODALICA,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tip. GVK-3V, Tb. 01677114</t>
    </r>
  </si>
  <si>
    <r>
      <rPr>
        <sz val="10"/>
        <rFont val="Arial"/>
        <family val="2"/>
        <charset val="238"/>
      </rPr>
      <t xml:space="preserve">TOKARILICA, </t>
    </r>
    <r>
      <rPr>
        <sz val="8"/>
        <rFont val="Arial"/>
        <family val="2"/>
        <charset val="238"/>
      </rPr>
      <t xml:space="preserve">tip. D-530/2500, pr. Prvomajska</t>
    </r>
  </si>
  <si>
    <r>
      <rPr>
        <sz val="10"/>
        <rFont val="Arial"/>
        <family val="2"/>
        <charset val="238"/>
      </rPr>
      <t xml:space="preserve">TOKARILICA, </t>
    </r>
    <r>
      <rPr>
        <sz val="8"/>
        <rFont val="Arial"/>
        <family val="2"/>
        <charset val="238"/>
      </rPr>
      <t xml:space="preserve">pr. BOEHRINGER</t>
    </r>
  </si>
  <si>
    <t xml:space="preserve">STOL OKRETNI</t>
  </si>
  <si>
    <r>
      <rPr>
        <sz val="10"/>
        <rFont val="Arial"/>
        <family val="2"/>
        <charset val="238"/>
      </rPr>
      <t xml:space="preserve">HORIZ. GLODALICA I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WAN.9B, pr. TOS</t>
    </r>
  </si>
  <si>
    <r>
      <rPr>
        <sz val="10"/>
        <rFont val="Arial"/>
        <family val="2"/>
        <charset val="238"/>
      </rPr>
      <t xml:space="preserve">KONZOLNA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FGS-50  (2x)</t>
    </r>
  </si>
  <si>
    <r>
      <rPr>
        <sz val="10"/>
        <rFont val="Arial"/>
        <family val="2"/>
        <charset val="238"/>
      </rPr>
      <t xml:space="preserve">TOKARILICA, </t>
    </r>
    <r>
      <rPr>
        <sz val="9"/>
        <rFont val="Arial"/>
        <family val="2"/>
        <charset val="238"/>
      </rPr>
      <t xml:space="preserve">D-4201, pr. Prvomajska</t>
    </r>
  </si>
  <si>
    <r>
      <rPr>
        <sz val="10"/>
        <rFont val="Arial"/>
        <family val="2"/>
        <charset val="238"/>
      </rPr>
      <t xml:space="preserve">HORIZ. GLODALICA I BUŠILICA</t>
    </r>
    <r>
      <rPr>
        <sz val="8"/>
        <rFont val="Arial"/>
        <family val="2"/>
        <charset val="238"/>
      </rPr>
      <t xml:space="preserve">, tip. WHN.10, pr. TOS</t>
    </r>
  </si>
  <si>
    <t xml:space="preserve">ORMAR, drveni, 5-krilni</t>
  </si>
  <si>
    <t xml:space="preserve">F680</t>
  </si>
  <si>
    <t xml:space="preserve">DIZALICA, zračna, 4000, 07249</t>
  </si>
  <si>
    <r>
      <rPr>
        <sz val="10"/>
        <rFont val="Arial"/>
        <family val="2"/>
        <charset val="238"/>
      </rPr>
      <t xml:space="preserve">PREŠA, hidraulična, </t>
    </r>
    <r>
      <rPr>
        <sz val="9"/>
        <rFont val="Arial"/>
        <family val="2"/>
        <charset val="238"/>
      </rPr>
      <t xml:space="preserve">HP/Z 100 07282</t>
    </r>
  </si>
  <si>
    <t xml:space="preserve">POTEZNIK PRUG 8 KM sa galovim lancem</t>
  </si>
  <si>
    <t xml:space="preserve">CRPKA, uljna, zupčasta</t>
  </si>
  <si>
    <t xml:space="preserve">CRPKA, uljna, centrifugalna</t>
  </si>
  <si>
    <t xml:space="preserve">PLOČA RAZVODNA</t>
  </si>
  <si>
    <t xml:space="preserve">CRPKA, centrifugalna, za morsku vodu</t>
  </si>
  <si>
    <t xml:space="preserve">CRPKA, centrifugalna</t>
  </si>
  <si>
    <t xml:space="preserve">USISAVAČ INDUSTRIJSKI US-2</t>
  </si>
  <si>
    <t xml:space="preserve">KOČNICA-STOL za ispitivanje motora</t>
  </si>
  <si>
    <t xml:space="preserve">ISPRAVLJAČ PUNJAČ SCR 30 R</t>
  </si>
  <si>
    <t xml:space="preserve">ORMAR, drveni, za alat</t>
  </si>
  <si>
    <t xml:space="preserve">KLIMA UREĐAJ ZA USIS. DUŠIĆ. OKSI.</t>
  </si>
  <si>
    <t xml:space="preserve">STOL PROBNI ZA DM 5S26MC</t>
  </si>
  <si>
    <r>
      <rPr>
        <sz val="10"/>
        <rFont val="Arial"/>
        <family val="2"/>
        <charset val="238"/>
      </rPr>
      <t xml:space="preserve">KONTEJNER </t>
    </r>
    <r>
      <rPr>
        <sz val="8"/>
        <rFont val="Arial"/>
        <family val="2"/>
        <charset val="238"/>
      </rPr>
      <t xml:space="preserve">3x2x2,47 za mjerenje ispušnih plinova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</si>
  <si>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HCNU 611 E DUAL R 407</t>
    </r>
  </si>
  <si>
    <t xml:space="preserve">CRPKA HIDRAULIČNO PNEUMATSKA</t>
  </si>
  <si>
    <r>
      <rPr>
        <sz val="10"/>
        <rFont val="Arial"/>
        <family val="2"/>
        <charset val="238"/>
      </rPr>
      <t xml:space="preserve">HLADNJAK, </t>
    </r>
    <r>
      <rPr>
        <sz val="8"/>
        <rFont val="Arial"/>
        <family val="2"/>
        <charset val="238"/>
      </rPr>
      <t xml:space="preserve">WHI ARC 0060</t>
    </r>
  </si>
  <si>
    <r>
      <rPr>
        <sz val="10"/>
        <rFont val="Arial"/>
        <family val="2"/>
        <charset val="238"/>
      </rPr>
      <t xml:space="preserve">RADIJATOR EL., </t>
    </r>
    <r>
      <rPr>
        <sz val="8"/>
        <rFont val="Arial"/>
        <family val="2"/>
        <charset val="238"/>
      </rPr>
      <t xml:space="preserve">WARMY 2 WA2009S</t>
    </r>
  </si>
  <si>
    <r>
      <rPr>
        <sz val="10"/>
        <rFont val="Arial"/>
        <family val="2"/>
        <charset val="238"/>
      </rPr>
      <t xml:space="preserve">PREŠA, LUKAS, </t>
    </r>
    <r>
      <rPr>
        <sz val="9"/>
        <rFont val="Arial"/>
        <family val="2"/>
        <charset val="238"/>
      </rPr>
      <t xml:space="preserve">HP 20/150, 07264</t>
    </r>
  </si>
  <si>
    <r>
      <rPr>
        <sz val="10"/>
        <rFont val="Arial"/>
        <family val="2"/>
        <charset val="238"/>
      </rPr>
      <t xml:space="preserve">PREŠA, teleskopska, </t>
    </r>
    <r>
      <rPr>
        <sz val="9"/>
        <rFont val="Arial"/>
        <family val="2"/>
        <charset val="238"/>
      </rPr>
      <t xml:space="preserve">HP 10, 07265</t>
    </r>
  </si>
  <si>
    <r>
      <rPr>
        <sz val="10"/>
        <rFont val="Arial"/>
        <family val="2"/>
        <charset val="238"/>
      </rPr>
      <t xml:space="preserve">PREŠA, LUKAS, </t>
    </r>
    <r>
      <rPr>
        <sz val="9"/>
        <rFont val="Arial"/>
        <family val="2"/>
        <charset val="238"/>
      </rPr>
      <t xml:space="preserve">HP 60/T, 490 07270</t>
    </r>
  </si>
  <si>
    <r>
      <rPr>
        <sz val="10"/>
        <rFont val="Arial"/>
        <family val="2"/>
        <charset val="238"/>
      </rPr>
      <t xml:space="preserve">PREŠA, LUKAS, </t>
    </r>
    <r>
      <rPr>
        <sz val="9"/>
        <rFont val="Arial"/>
        <family val="2"/>
        <charset val="238"/>
      </rPr>
      <t xml:space="preserve">HP 35/100, 07276</t>
    </r>
  </si>
  <si>
    <t xml:space="preserve">KOLOTURNIK 6000 kg 07326</t>
  </si>
  <si>
    <r>
      <rPr>
        <sz val="10"/>
        <rFont val="Arial"/>
        <family val="2"/>
        <charset val="238"/>
      </rPr>
      <t xml:space="preserve">DINAMOMETAR od </t>
    </r>
    <r>
      <rPr>
        <sz val="8"/>
        <rFont val="Arial"/>
        <family val="2"/>
        <charset val="238"/>
      </rPr>
      <t xml:space="preserve">0-40000KG 6199</t>
    </r>
  </si>
  <si>
    <t xml:space="preserve">MOTORNA PLATFORMA probnog stola 401</t>
  </si>
  <si>
    <t xml:space="preserve">SPREMNIK, željezni, zpr. 4.000 L</t>
  </si>
  <si>
    <t xml:space="preserve">SPREMNIK ulja, željezni, zpr. 300 L</t>
  </si>
  <si>
    <t xml:space="preserve">SPREMNIK, željezni, zpr. 1.500 L</t>
  </si>
  <si>
    <t xml:space="preserve">SPREMNIK, željezni</t>
  </si>
  <si>
    <t xml:space="preserve">SPREMNIK za komprimirani zrak</t>
  </si>
  <si>
    <r>
      <rPr>
        <sz val="10"/>
        <rFont val="Arial"/>
        <family val="2"/>
        <charset val="238"/>
      </rPr>
      <t xml:space="preserve">ISPITNA STANICA </t>
    </r>
    <r>
      <rPr>
        <sz val="8"/>
        <rFont val="Arial"/>
        <family val="2"/>
        <charset val="238"/>
      </rPr>
      <t xml:space="preserve">(PN. 210072)</t>
    </r>
  </si>
  <si>
    <r>
      <rPr>
        <sz val="10"/>
        <rFont val="Arial"/>
        <family val="2"/>
        <charset val="238"/>
      </rPr>
      <t xml:space="preserve">PROBNI STOL, </t>
    </r>
    <r>
      <rPr>
        <sz val="8"/>
        <rFont val="Arial"/>
        <family val="2"/>
        <charset val="238"/>
      </rPr>
      <t xml:space="preserve">8S50MC-C (PN 210056)</t>
    </r>
  </si>
  <si>
    <r>
      <rPr>
        <sz val="10"/>
        <rFont val="Arial"/>
        <family val="2"/>
        <charset val="238"/>
      </rPr>
      <t xml:space="preserve">STOL, radni, </t>
    </r>
    <r>
      <rPr>
        <sz val="8"/>
        <rFont val="Arial"/>
        <family val="2"/>
        <charset val="238"/>
      </rPr>
      <t xml:space="preserve">160x80x72 C504 CRO-TEMPO</t>
    </r>
  </si>
  <si>
    <r>
      <rPr>
        <sz val="10"/>
        <rFont val="Arial"/>
        <family val="2"/>
        <charset val="238"/>
      </rPr>
      <t xml:space="preserve">KUTNA PLOČA 90 </t>
    </r>
    <r>
      <rPr>
        <sz val="8"/>
        <rFont val="Arial"/>
        <family val="2"/>
        <charset val="238"/>
      </rPr>
      <t xml:space="preserve">ART.531 CRO-TEMPO</t>
    </r>
  </si>
  <si>
    <r>
      <rPr>
        <sz val="10"/>
        <rFont val="Arial"/>
        <family val="2"/>
        <charset val="238"/>
      </rPr>
      <t xml:space="preserve">STOL, radni, </t>
    </r>
    <r>
      <rPr>
        <sz val="8"/>
        <rFont val="Arial"/>
        <family val="2"/>
        <charset val="238"/>
      </rPr>
      <t xml:space="preserve">80x80x72 C501 CRO-TEMPO</t>
    </r>
  </si>
  <si>
    <r>
      <rPr>
        <sz val="10"/>
        <rFont val="Arial"/>
        <family val="2"/>
        <charset val="238"/>
      </rPr>
      <t xml:space="preserve">KONTEJNER, 3-ladice,</t>
    </r>
    <r>
      <rPr>
        <sz val="8"/>
        <rFont val="Arial"/>
        <family val="2"/>
        <charset val="238"/>
      </rPr>
      <t xml:space="preserve"> Art. 521 CRO - TEMP</t>
    </r>
  </si>
  <si>
    <r>
      <rPr>
        <sz val="10"/>
        <rFont val="Arial"/>
        <family val="2"/>
        <charset val="238"/>
      </rPr>
      <t xml:space="preserve">ORMAR, dreni </t>
    </r>
    <r>
      <rPr>
        <sz val="8"/>
        <rFont val="Arial"/>
        <family val="2"/>
        <charset val="238"/>
      </rPr>
      <t xml:space="preserve">90x47x220 C593 CRO-TEMP</t>
    </r>
  </si>
  <si>
    <r>
      <rPr>
        <sz val="10"/>
        <rFont val="Arial"/>
        <family val="2"/>
        <charset val="238"/>
      </rPr>
      <t xml:space="preserve">STOL, konferenc. </t>
    </r>
    <r>
      <rPr>
        <sz val="8"/>
        <rFont val="Arial"/>
        <family val="2"/>
        <charset val="238"/>
      </rPr>
      <t xml:space="preserve">200x100x72 C512 CRO-TEMP</t>
    </r>
  </si>
  <si>
    <r>
      <rPr>
        <sz val="10"/>
        <rFont val="Arial"/>
        <family val="2"/>
        <charset val="238"/>
      </rPr>
      <t xml:space="preserve">VJEŠALICA, lakirana, crna, </t>
    </r>
    <r>
      <rPr>
        <sz val="8"/>
        <rFont val="Arial"/>
        <family val="2"/>
        <charset val="238"/>
      </rPr>
      <t xml:space="preserve">GIR 1704</t>
    </r>
  </si>
  <si>
    <r>
      <rPr>
        <sz val="10"/>
        <rFont val="Arial"/>
        <family val="2"/>
        <charset val="238"/>
      </rPr>
      <t xml:space="preserve">HIDRAULIČKA NAPRAVA, </t>
    </r>
    <r>
      <rPr>
        <sz val="8"/>
        <rFont val="Arial"/>
        <family val="2"/>
        <charset val="238"/>
      </rPr>
      <t xml:space="preserve">M45x4,5 PN210068</t>
    </r>
  </si>
  <si>
    <r>
      <rPr>
        <sz val="10"/>
        <rFont val="Arial"/>
        <family val="2"/>
        <charset val="238"/>
      </rPr>
      <t xml:space="preserve">PC, </t>
    </r>
    <r>
      <rPr>
        <sz val="8"/>
        <rFont val="Arial"/>
        <family val="2"/>
        <charset val="238"/>
      </rPr>
      <t xml:space="preserve">DX, 230MT CQ889AE</t>
    </r>
  </si>
  <si>
    <r>
      <rPr>
        <sz val="10"/>
        <rFont val="Arial"/>
        <family val="2"/>
        <charset val="238"/>
      </rPr>
      <t xml:space="preserve">NOTEBOOK, </t>
    </r>
    <r>
      <rPr>
        <sz val="8"/>
        <rFont val="Arial"/>
        <family val="2"/>
        <charset val="238"/>
      </rPr>
      <t xml:space="preserve">HP, SA WN XP</t>
    </r>
  </si>
  <si>
    <r>
      <rPr>
        <sz val="10"/>
        <rFont val="Arial"/>
        <family val="2"/>
        <charset val="238"/>
      </rPr>
      <t xml:space="preserve">SWITCH, </t>
    </r>
    <r>
      <rPr>
        <sz val="8"/>
        <rFont val="Arial"/>
        <family val="2"/>
        <charset val="238"/>
      </rPr>
      <t xml:space="preserve">1x10/100/1000 + 7X1900</t>
    </r>
  </si>
  <si>
    <t xml:space="preserve">PROBNI STOL za ispitivanje motora</t>
  </si>
  <si>
    <t xml:space="preserve">SPOJ ZOLLNER KOČNICE</t>
  </si>
  <si>
    <t xml:space="preserve">ALAT za potrebe GL. MOTORA na prob. stolu</t>
  </si>
  <si>
    <t xml:space="preserve">PROTUPROVALNI SUSTAV FBII</t>
  </si>
  <si>
    <t xml:space="preserve">KAMERA MREŽNA DOME</t>
  </si>
  <si>
    <t xml:space="preserve">KAMERA 3MPX 1/2''</t>
  </si>
  <si>
    <t xml:space="preserve">OBJEKTIV MPIX 2/3''</t>
  </si>
  <si>
    <t xml:space="preserve">TV MONITOR LCD 22''</t>
  </si>
  <si>
    <t xml:space="preserve">SERVER RAČUNALO, INTEL</t>
  </si>
  <si>
    <t xml:space="preserve">GLAVNI MREŽNI PREKLOPNIK</t>
  </si>
  <si>
    <t xml:space="preserve">PRISTUPNI PREKLOPNIK</t>
  </si>
  <si>
    <t xml:space="preserve">ORMAR RACK 19''</t>
  </si>
  <si>
    <t xml:space="preserve">VENTILATORSKA JEDINICA</t>
  </si>
  <si>
    <t xml:space="preserve">UPS NAPAJANJE</t>
  </si>
  <si>
    <t xml:space="preserve">UPRAVLJAČKI ORMAR za rasvjetu</t>
  </si>
  <si>
    <r>
      <rPr>
        <sz val="10"/>
        <rFont val="Arial"/>
        <family val="2"/>
        <charset val="238"/>
      </rPr>
      <t xml:space="preserve">PROBNI STOL </t>
    </r>
    <r>
      <rPr>
        <sz val="8"/>
        <rFont val="Arial"/>
        <family val="2"/>
        <charset val="238"/>
      </rPr>
      <t xml:space="preserve">za 6S46MC-C</t>
    </r>
  </si>
  <si>
    <r>
      <rPr>
        <sz val="10"/>
        <rFont val="Arial"/>
        <family val="2"/>
        <charset val="238"/>
      </rPr>
      <t xml:space="preserve">PROBNI STOL, </t>
    </r>
    <r>
      <rPr>
        <sz val="8"/>
        <rFont val="Arial"/>
        <family val="2"/>
        <charset val="238"/>
      </rPr>
      <t xml:space="preserve">za motor 6S50MC</t>
    </r>
  </si>
  <si>
    <t xml:space="preserve">VIBROELEKTROMOTOR</t>
  </si>
  <si>
    <t xml:space="preserve">ELEKTRONSKA PODNA VAGA</t>
  </si>
  <si>
    <t xml:space="preserve">FILTER ULJA AKO</t>
  </si>
  <si>
    <t xml:space="preserve">FILTER MORSKE VODE</t>
  </si>
  <si>
    <t xml:space="preserve">PMI SISTEM</t>
  </si>
  <si>
    <t xml:space="preserve">STEPENICE za pristup motoru</t>
  </si>
  <si>
    <t xml:space="preserve">PULT probnog stola</t>
  </si>
  <si>
    <t xml:space="preserve">KLIZNA VRATA</t>
  </si>
  <si>
    <r>
      <rPr>
        <sz val="10"/>
        <rFont val="Arial"/>
        <family val="2"/>
        <charset val="238"/>
      </rPr>
      <t xml:space="preserve">PRIPREMA PROBNOG STOLA, </t>
    </r>
    <r>
      <rPr>
        <sz val="8"/>
        <rFont val="Arial"/>
        <family val="2"/>
        <charset val="238"/>
      </rPr>
      <t xml:space="preserve">za DM 6S50MC-C</t>
    </r>
  </si>
  <si>
    <r>
      <rPr>
        <sz val="10"/>
        <rFont val="Arial"/>
        <family val="2"/>
        <charset val="238"/>
      </rPr>
      <t xml:space="preserve">PROBNI STOL MOTORA, </t>
    </r>
    <r>
      <rPr>
        <sz val="8"/>
        <rFont val="Arial"/>
        <family val="2"/>
        <charset val="238"/>
      </rPr>
      <t xml:space="preserve">5S26MC-C</t>
    </r>
  </si>
  <si>
    <r>
      <rPr>
        <sz val="10"/>
        <rFont val="Arial"/>
        <family val="2"/>
        <charset val="238"/>
      </rPr>
      <t xml:space="preserve">PROBNI STOL, </t>
    </r>
    <r>
      <rPr>
        <sz val="8"/>
        <rFont val="Arial"/>
        <family val="2"/>
        <charset val="238"/>
      </rPr>
      <t xml:space="preserve">za motor 8S60ME-C</t>
    </r>
  </si>
  <si>
    <t xml:space="preserve">PROBNI STOL za palubne dizalice</t>
  </si>
  <si>
    <t xml:space="preserve">PRIPREMA PROBNOG STOLA za agregatiranje</t>
  </si>
  <si>
    <t xml:space="preserve">NAPRAVA za dizanje</t>
  </si>
  <si>
    <r>
      <rPr>
        <sz val="10"/>
        <rFont val="Arial"/>
        <family val="2"/>
        <charset val="238"/>
      </rPr>
      <t xml:space="preserve">PROBNI STOL, za pripremu motora, </t>
    </r>
    <r>
      <rPr>
        <sz val="8"/>
        <rFont val="Arial"/>
        <family val="2"/>
        <charset val="238"/>
      </rPr>
      <t xml:space="preserve">6G50ME-B</t>
    </r>
  </si>
  <si>
    <t xml:space="preserve">F685</t>
  </si>
  <si>
    <t xml:space="preserve">PREŠA, hidraulična, 600 mm</t>
  </si>
  <si>
    <r>
      <rPr>
        <sz val="10"/>
        <rFont val="Arial"/>
        <family val="2"/>
        <charset val="238"/>
      </rPr>
      <t xml:space="preserve">RADIJALNA BUŠILICA </t>
    </r>
    <r>
      <rPr>
        <sz val="8"/>
        <rFont val="Arial"/>
        <family val="2"/>
        <charset val="238"/>
      </rPr>
      <t xml:space="preserve">(2x)</t>
    </r>
  </si>
  <si>
    <t xml:space="preserve">ŠKARE, ručne, za lim</t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</si>
  <si>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50/7,5T /19m</t>
    </r>
  </si>
  <si>
    <t xml:space="preserve">POTEZNIK PRV G 18 kN</t>
  </si>
  <si>
    <r>
      <rPr>
        <sz val="10"/>
        <rFont val="Arial"/>
        <family val="2"/>
        <charset val="238"/>
      </rPr>
      <t xml:space="preserve">VIJČANA DIZALICA, </t>
    </r>
    <r>
      <rPr>
        <sz val="9"/>
        <rFont val="Arial"/>
        <family val="2"/>
        <charset val="238"/>
      </rPr>
      <t xml:space="preserve">tip. VD-30 </t>
    </r>
    <r>
      <rPr>
        <sz val="8"/>
        <rFont val="Arial"/>
        <family val="2"/>
        <charset val="238"/>
      </rPr>
      <t xml:space="preserve"> (5x)</t>
    </r>
  </si>
  <si>
    <r>
      <rPr>
        <sz val="10"/>
        <rFont val="Arial"/>
        <family val="2"/>
        <charset val="238"/>
      </rPr>
      <t xml:space="preserve">VIJČANA DIZALICA, </t>
    </r>
    <r>
      <rPr>
        <sz val="9"/>
        <rFont val="Arial"/>
        <family val="2"/>
        <charset val="238"/>
      </rPr>
      <t xml:space="preserve">tip. VD-40, ručna  </t>
    </r>
    <r>
      <rPr>
        <sz val="8"/>
        <rFont val="Arial"/>
        <family val="2"/>
        <charset val="238"/>
      </rPr>
      <t xml:space="preserve">(5x)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</si>
  <si>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60/10T /19m</t>
    </r>
  </si>
  <si>
    <t xml:space="preserve">PREŠA, horizontalna, 150 Mp</t>
  </si>
  <si>
    <r>
      <rPr>
        <sz val="10"/>
        <rFont val="Arial"/>
        <family val="2"/>
        <charset val="238"/>
      </rPr>
      <t xml:space="preserve">KONZOLNA DIZALICA, </t>
    </r>
    <r>
      <rPr>
        <sz val="9"/>
        <rFont val="Arial"/>
        <family val="2"/>
        <charset val="238"/>
      </rPr>
      <t xml:space="preserve">za probni stol, </t>
    </r>
    <r>
      <rPr>
        <sz val="8"/>
        <rFont val="Arial"/>
        <family val="2"/>
        <charset val="238"/>
      </rPr>
      <t xml:space="preserve">tip. KD 5T/5m</t>
    </r>
  </si>
  <si>
    <t xml:space="preserve">STUPNA BUŠILICA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</si>
  <si>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25/8T /10,8m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</si>
  <si>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8T/10,8m</t>
    </r>
  </si>
  <si>
    <t xml:space="preserve">PREŠA, ručna, vretenasta, 15 T</t>
  </si>
  <si>
    <t xml:space="preserve">TRANSFORMATORI za zavarivanje</t>
  </si>
  <si>
    <t xml:space="preserve">BALANSIR za dizalicu</t>
  </si>
  <si>
    <t xml:space="preserve">PREŠA, hidraulična, HP-15</t>
  </si>
  <si>
    <r>
      <rPr>
        <sz val="10"/>
        <rFont val="Arial"/>
        <family val="2"/>
        <charset val="238"/>
      </rPr>
      <t xml:space="preserve">ISPRAVLJAČ za zavarivanje, </t>
    </r>
    <r>
      <rPr>
        <sz val="8"/>
        <rFont val="Arial"/>
        <family val="2"/>
        <charset val="238"/>
      </rPr>
      <t xml:space="preserve">LCH 575</t>
    </r>
  </si>
  <si>
    <t xml:space="preserve">BRUSILICA VENTILA</t>
  </si>
  <si>
    <r>
      <rPr>
        <sz val="10"/>
        <rFont val="Arial"/>
        <family val="2"/>
        <charset val="238"/>
      </rPr>
      <t xml:space="preserve">TELEFAX, </t>
    </r>
    <r>
      <rPr>
        <sz val="8"/>
        <rFont val="Arial"/>
        <family val="2"/>
        <charset val="238"/>
      </rPr>
      <t xml:space="preserve">Panasonic, KXF 230 BX</t>
    </r>
  </si>
  <si>
    <r>
      <rPr>
        <sz val="10"/>
        <rFont val="Arial"/>
        <family val="2"/>
        <charset val="238"/>
      </rPr>
      <t xml:space="preserve">TRAČNA PILA, horizontalna, </t>
    </r>
    <r>
      <rPr>
        <sz val="8"/>
        <rFont val="Arial"/>
        <family val="2"/>
        <charset val="238"/>
      </rPr>
      <t xml:space="preserve">tip. HSP-320</t>
    </r>
  </si>
  <si>
    <t xml:space="preserve">TANK CILINDRIČNOG ULJA</t>
  </si>
  <si>
    <r>
      <rPr>
        <sz val="10"/>
        <rFont val="Arial"/>
        <family val="2"/>
        <charset val="238"/>
      </rPr>
      <t xml:space="preserve">PREŠA, motorna, </t>
    </r>
    <r>
      <rPr>
        <sz val="8"/>
        <rFont val="Arial"/>
        <family val="2"/>
        <charset val="238"/>
      </rPr>
      <t xml:space="preserve">INKOS 200 200 07262</t>
    </r>
  </si>
  <si>
    <t xml:space="preserve">F686</t>
  </si>
  <si>
    <t xml:space="preserve">BUŠILICA, stolna</t>
  </si>
  <si>
    <t xml:space="preserve">BUŠILICA, stupna, PR 30 mm</t>
  </si>
  <si>
    <t xml:space="preserve">BUŠILICA, stupna, PR 32 mm</t>
  </si>
  <si>
    <t xml:space="preserve">UREĐAJ za hidraulično savijanje cijevi</t>
  </si>
  <si>
    <t xml:space="preserve">DIZALICA VEDA LT</t>
  </si>
  <si>
    <r>
      <rPr>
        <sz val="10"/>
        <rFont val="Arial"/>
        <family val="2"/>
        <charset val="238"/>
      </rPr>
      <t xml:space="preserve">APARAT za zavarivanje, </t>
    </r>
    <r>
      <rPr>
        <sz val="9"/>
        <rFont val="Arial"/>
        <family val="2"/>
        <charset val="238"/>
      </rPr>
      <t xml:space="preserve">IRA 600</t>
    </r>
  </si>
  <si>
    <r>
      <rPr>
        <sz val="10"/>
        <rFont val="Arial"/>
        <family val="2"/>
        <charset val="238"/>
      </rPr>
      <t xml:space="preserve">STROJ za savijanje cijevi, </t>
    </r>
    <r>
      <rPr>
        <sz val="8"/>
        <rFont val="Arial"/>
        <family val="2"/>
        <charset val="238"/>
      </rPr>
      <t xml:space="preserve">mod.030</t>
    </r>
  </si>
  <si>
    <r>
      <rPr>
        <sz val="10"/>
        <rFont val="Arial"/>
        <family val="2"/>
        <charset val="238"/>
      </rPr>
      <t xml:space="preserve">STROJ za savijanje cijevi, </t>
    </r>
    <r>
      <rPr>
        <sz val="8"/>
        <rFont val="Arial"/>
        <family val="2"/>
        <charset val="238"/>
      </rPr>
      <t xml:space="preserve">mod.092</t>
    </r>
  </si>
  <si>
    <r>
      <rPr>
        <sz val="10"/>
        <rFont val="Arial"/>
        <family val="2"/>
        <charset val="238"/>
      </rPr>
      <t xml:space="preserve">DIZALICA, </t>
    </r>
    <r>
      <rPr>
        <sz val="8"/>
        <rFont val="Arial"/>
        <family val="2"/>
        <charset val="238"/>
      </rPr>
      <t xml:space="preserve">nos. 2T</t>
    </r>
  </si>
  <si>
    <t xml:space="preserve">Kn.</t>
  </si>
  <si>
    <t xml:space="preserve">KN/EUR =</t>
  </si>
  <si>
    <t xml:space="preserve">EUR.</t>
  </si>
  <si>
    <t xml:space="preserve">Datum :   29.02.2020.</t>
  </si>
  <si>
    <t xml:space="preserve">Procjenu izradio :</t>
  </si>
  <si>
    <r>
      <rPr>
        <sz val="9"/>
        <rFont val="Arial"/>
        <family val="2"/>
        <charset val="1"/>
      </rPr>
      <t xml:space="preserve">VEČESLAV GRŽINIĆ</t>
    </r>
    <r>
      <rPr>
        <sz val="8"/>
        <rFont val="Arial"/>
        <family val="2"/>
        <charset val="1"/>
      </rPr>
      <t xml:space="preserve">, dis.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</si>
</sst>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     &quot;;\-#,##0.00&quot;      &quot;;&quot; -&quot;#&quot;      &quot;;@\ "/>
    <numFmt numFmtId="166" formatCode="General"/>
    <numFmt numFmtId="167" formatCode="#,##0"/>
    <numFmt numFmtId="168" formatCode="#,##0.0"/>
  </numFmts>
  <fonts count="3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name val="Mang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FF00FF"/>
      <name val="Arial"/>
      <family val="2"/>
      <charset val="238"/>
    </font>
    <font>
      <b val="true"/>
      <sz val="9"/>
      <color rgb="FFFF00FF"/>
      <name val="Arial"/>
      <family val="2"/>
      <charset val="238"/>
    </font>
    <font>
      <b val="true"/>
      <sz val="9"/>
      <color rgb="FFFF0000"/>
      <name val="Arial"/>
      <family val="2"/>
      <charset val="238"/>
    </font>
    <font>
      <sz val="10"/>
      <name val="Calibri"/>
      <family val="2"/>
      <charset val="238"/>
    </font>
    <font>
      <sz val="8"/>
      <color rgb="FF000000"/>
      <name val="Arial"/>
      <family val="2"/>
      <charset val="238"/>
    </font>
    <font>
      <b val="true"/>
      <sz val="8"/>
      <color rgb="FF6600CC"/>
      <name val="Arial"/>
      <family val="2"/>
      <charset val="238"/>
    </font>
    <font>
      <b val="true"/>
      <sz val="10"/>
      <color rgb="FF009900"/>
      <name val="Arial"/>
      <family val="2"/>
      <charset val="238"/>
    </font>
    <font>
      <b val="true"/>
      <sz val="8"/>
      <color rgb="FFFF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sz val="9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8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1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03. PROCJENA strojeva i opreme - ConVict" xfId="20"/>
    <cellStyle name="Normalno 2" xfId="21"/>
    <cellStyle name="Pivot Table Category" xfId="22"/>
    <cellStyle name="Pivot Table Corner" xfId="23"/>
    <cellStyle name="Pivot Table Field" xfId="24"/>
    <cellStyle name="Pivot Table Result" xfId="25"/>
    <cellStyle name="Pivot Table Title" xfId="26"/>
    <cellStyle name="Pivot Table Value" xfId="27"/>
    <cellStyle name="Zarez 2" xfId="2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6600CC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98"/>
  <sheetViews>
    <sheetView showFormulas="false" showGridLines="true" showRowColHeaders="true" showZeros="true" rightToLeft="false" tabSelected="true" showOutlineSymbols="true" defaultGridColor="true" view="normal" topLeftCell="A2064" colorId="64" zoomScale="100" zoomScaleNormal="100" zoomScalePageLayoutView="100" workbookViewId="0">
      <selection pane="topLeft" activeCell="H2093" activeCellId="0" sqref="H2093"/>
    </sheetView>
  </sheetViews>
  <sheetFormatPr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4.71"/>
    <col collapsed="false" customWidth="true" hidden="false" outlineLevel="0" max="3" min="3" style="0" width="7.41"/>
    <col collapsed="false" customWidth="true" hidden="false" outlineLevel="0" max="4" min="4" style="0" width="43"/>
    <col collapsed="false" customWidth="true" hidden="false" outlineLevel="0" max="5" min="5" style="0" width="5.28"/>
    <col collapsed="false" customWidth="true" hidden="false" outlineLevel="0" max="6" min="6" style="0" width="10.29"/>
    <col collapsed="false" customWidth="true" hidden="false" outlineLevel="0" max="7" min="7" style="0" width="4.71"/>
    <col collapsed="false" customWidth="true" hidden="false" outlineLevel="0" max="8" min="8" style="0" width="12.86"/>
    <col collapsed="false" customWidth="true" hidden="false" outlineLevel="0" max="1025" min="9" style="0" width="8.67"/>
  </cols>
  <sheetData>
    <row r="1" customFormat="false" ht="15" hidden="false" customHeight="true" outlineLevel="0" collapsed="false"/>
    <row r="2" s="6" customFormat="true" ht="12" hidden="false" customHeight="true" outlineLevel="0" collapsed="false">
      <c r="A2" s="1" t="s">
        <v>0</v>
      </c>
      <c r="B2" s="2"/>
      <c r="C2" s="2" t="s">
        <v>1</v>
      </c>
      <c r="D2" s="3"/>
      <c r="E2" s="2" t="s">
        <v>2</v>
      </c>
      <c r="F2" s="4" t="s">
        <v>3</v>
      </c>
      <c r="G2" s="2" t="s">
        <v>4</v>
      </c>
      <c r="H2" s="5" t="s">
        <v>5</v>
      </c>
    </row>
    <row r="3" s="6" customFormat="true" ht="12" hidden="false" customHeight="true" outlineLevel="0" collapsed="false">
      <c r="A3" s="7" t="s">
        <v>6</v>
      </c>
      <c r="B3" s="8" t="s">
        <v>7</v>
      </c>
      <c r="C3" s="8" t="s">
        <v>8</v>
      </c>
      <c r="D3" s="9" t="s">
        <v>9</v>
      </c>
      <c r="E3" s="10" t="s">
        <v>10</v>
      </c>
      <c r="F3" s="10" t="s">
        <v>11</v>
      </c>
      <c r="G3" s="11"/>
      <c r="H3" s="12" t="s">
        <v>12</v>
      </c>
    </row>
    <row r="4" s="6" customFormat="true" ht="12" hidden="false" customHeight="true" outlineLevel="0" collapsed="false">
      <c r="A4" s="13"/>
      <c r="B4" s="14"/>
      <c r="C4" s="15"/>
      <c r="D4" s="15"/>
      <c r="E4" s="14" t="s">
        <v>13</v>
      </c>
      <c r="F4" s="16" t="s">
        <v>14</v>
      </c>
      <c r="G4" s="17" t="s">
        <v>15</v>
      </c>
      <c r="H4" s="18" t="s">
        <v>16</v>
      </c>
      <c r="I4" s="19"/>
    </row>
    <row r="5" s="6" customFormat="true" ht="5.25" hidden="false" customHeight="true" outlineLevel="0" collapsed="false">
      <c r="A5" s="20"/>
      <c r="B5" s="21"/>
      <c r="C5" s="22"/>
      <c r="D5" s="9"/>
      <c r="E5" s="22"/>
      <c r="F5" s="23"/>
      <c r="G5" s="24"/>
      <c r="H5" s="25"/>
      <c r="I5" s="19"/>
    </row>
    <row r="6" s="33" customFormat="true" ht="14.25" hidden="false" customHeight="false" outlineLevel="0" collapsed="false">
      <c r="A6" s="26" t="n">
        <v>1</v>
      </c>
      <c r="B6" s="27" t="s">
        <v>17</v>
      </c>
      <c r="C6" s="28" t="str">
        <f aca="false">"0009980"</f>
        <v>0009980</v>
      </c>
      <c r="D6" s="29" t="s">
        <v>18</v>
      </c>
      <c r="E6" s="27" t="n">
        <v>1997</v>
      </c>
      <c r="F6" s="30" t="n">
        <f aca="false">1870*1.1</f>
        <v>2057</v>
      </c>
      <c r="G6" s="31" t="n">
        <v>1</v>
      </c>
      <c r="H6" s="32" t="n">
        <v>120</v>
      </c>
    </row>
    <row r="7" s="33" customFormat="true" ht="14.25" hidden="false" customHeight="false" outlineLevel="0" collapsed="false">
      <c r="A7" s="34" t="n">
        <f aca="false">A6+1</f>
        <v>2</v>
      </c>
      <c r="B7" s="35" t="s">
        <v>17</v>
      </c>
      <c r="C7" s="36" t="str">
        <f aca="false">"0010581"</f>
        <v>0010581</v>
      </c>
      <c r="D7" s="37" t="s">
        <v>19</v>
      </c>
      <c r="E7" s="35" t="n">
        <v>1999</v>
      </c>
      <c r="F7" s="38" t="n">
        <f aca="false">1361*1.1</f>
        <v>1497.1</v>
      </c>
      <c r="G7" s="39" t="n">
        <v>1</v>
      </c>
      <c r="H7" s="40" t="n">
        <v>90</v>
      </c>
    </row>
    <row r="8" s="33" customFormat="true" ht="14.25" hidden="false" customHeight="false" outlineLevel="0" collapsed="false">
      <c r="A8" s="34" t="n">
        <f aca="false">A7+1</f>
        <v>3</v>
      </c>
      <c r="B8" s="35" t="s">
        <v>17</v>
      </c>
      <c r="C8" s="36" t="str">
        <f aca="false">"0010598"</f>
        <v>0010598</v>
      </c>
      <c r="D8" s="37" t="s">
        <v>20</v>
      </c>
      <c r="E8" s="35" t="n">
        <v>1999</v>
      </c>
      <c r="F8" s="38" t="n">
        <f aca="false">17204.5*1.1</f>
        <v>18924.95</v>
      </c>
      <c r="G8" s="39" t="n">
        <v>1</v>
      </c>
      <c r="H8" s="40" t="n">
        <v>1080</v>
      </c>
    </row>
    <row r="9" s="33" customFormat="true" ht="14.25" hidden="false" customHeight="false" outlineLevel="0" collapsed="false">
      <c r="A9" s="34" t="n">
        <f aca="false">A8+1</f>
        <v>4</v>
      </c>
      <c r="B9" s="35" t="s">
        <v>17</v>
      </c>
      <c r="C9" s="36" t="str">
        <f aca="false">"0012098"</f>
        <v>0012098</v>
      </c>
      <c r="D9" s="37" t="s">
        <v>21</v>
      </c>
      <c r="E9" s="35" t="n">
        <v>2001</v>
      </c>
      <c r="F9" s="38" t="n">
        <v>7735</v>
      </c>
      <c r="G9" s="39" t="n">
        <v>1</v>
      </c>
      <c r="H9" s="40" t="n">
        <v>460</v>
      </c>
    </row>
    <row r="10" s="33" customFormat="true" ht="14.25" hidden="false" customHeight="false" outlineLevel="0" collapsed="false">
      <c r="A10" s="34" t="n">
        <f aca="false">A9+1</f>
        <v>5</v>
      </c>
      <c r="B10" s="35" t="s">
        <v>17</v>
      </c>
      <c r="C10" s="36" t="str">
        <f aca="false">"0012099"</f>
        <v>0012099</v>
      </c>
      <c r="D10" s="37" t="s">
        <v>22</v>
      </c>
      <c r="E10" s="35" t="n">
        <v>2001</v>
      </c>
      <c r="F10" s="38" t="n">
        <v>4380</v>
      </c>
      <c r="G10" s="39" t="n">
        <v>1</v>
      </c>
      <c r="H10" s="40" t="n">
        <v>250</v>
      </c>
    </row>
    <row r="11" s="33" customFormat="true" ht="14.25" hidden="false" customHeight="false" outlineLevel="0" collapsed="false">
      <c r="A11" s="34" t="n">
        <f aca="false">A10+1</f>
        <v>6</v>
      </c>
      <c r="B11" s="35" t="s">
        <v>17</v>
      </c>
      <c r="C11" s="36" t="str">
        <f aca="false">"0012599"</f>
        <v>0012599</v>
      </c>
      <c r="D11" s="37" t="s">
        <v>23</v>
      </c>
      <c r="E11" s="35" t="n">
        <v>2002</v>
      </c>
      <c r="F11" s="38" t="n">
        <v>3064.64</v>
      </c>
      <c r="G11" s="39" t="n">
        <v>1</v>
      </c>
      <c r="H11" s="40" t="n">
        <v>200</v>
      </c>
    </row>
    <row r="12" s="33" customFormat="true" ht="14.25" hidden="false" customHeight="false" outlineLevel="0" collapsed="false">
      <c r="A12" s="34" t="n">
        <f aca="false">A11+1</f>
        <v>7</v>
      </c>
      <c r="B12" s="35" t="s">
        <v>17</v>
      </c>
      <c r="C12" s="36" t="str">
        <f aca="false">"0012600"</f>
        <v>0012600</v>
      </c>
      <c r="D12" s="37" t="s">
        <v>24</v>
      </c>
      <c r="E12" s="35" t="n">
        <v>2002</v>
      </c>
      <c r="F12" s="38" t="n">
        <v>2100</v>
      </c>
      <c r="G12" s="39" t="n">
        <v>1</v>
      </c>
      <c r="H12" s="40" t="n">
        <v>130</v>
      </c>
    </row>
    <row r="13" s="33" customFormat="true" ht="14.25" hidden="false" customHeight="false" outlineLevel="0" collapsed="false">
      <c r="A13" s="34" t="n">
        <f aca="false">A12+1</f>
        <v>8</v>
      </c>
      <c r="B13" s="35" t="s">
        <v>17</v>
      </c>
      <c r="C13" s="36" t="str">
        <f aca="false">"0013504"</f>
        <v>0013504</v>
      </c>
      <c r="D13" s="37" t="s">
        <v>25</v>
      </c>
      <c r="E13" s="35" t="n">
        <v>2003</v>
      </c>
      <c r="F13" s="38" t="n">
        <v>18525</v>
      </c>
      <c r="G13" s="39" t="n">
        <v>1</v>
      </c>
      <c r="H13" s="40" t="n">
        <v>1750</v>
      </c>
    </row>
    <row r="14" s="33" customFormat="true" ht="14.25" hidden="false" customHeight="false" outlineLevel="0" collapsed="false">
      <c r="A14" s="34" t="n">
        <f aca="false">A13+1</f>
        <v>9</v>
      </c>
      <c r="B14" s="35" t="s">
        <v>17</v>
      </c>
      <c r="C14" s="36" t="str">
        <f aca="false">"0013572"</f>
        <v>0013572</v>
      </c>
      <c r="D14" s="37" t="s">
        <v>26</v>
      </c>
      <c r="E14" s="35" t="n">
        <v>2003</v>
      </c>
      <c r="F14" s="38" t="n">
        <v>12996.29</v>
      </c>
      <c r="G14" s="39" t="n">
        <v>1</v>
      </c>
      <c r="H14" s="40" t="n">
        <v>1220</v>
      </c>
    </row>
    <row r="15" s="33" customFormat="true" ht="14.25" hidden="false" customHeight="false" outlineLevel="0" collapsed="false">
      <c r="A15" s="34" t="n">
        <f aca="false">A14+1</f>
        <v>10</v>
      </c>
      <c r="B15" s="35" t="s">
        <v>17</v>
      </c>
      <c r="C15" s="36" t="str">
        <f aca="false">"0013573"</f>
        <v>0013573</v>
      </c>
      <c r="D15" s="37" t="s">
        <v>27</v>
      </c>
      <c r="E15" s="35" t="n">
        <v>2003</v>
      </c>
      <c r="F15" s="38" t="n">
        <v>6270.95</v>
      </c>
      <c r="G15" s="39" t="n">
        <v>1</v>
      </c>
      <c r="H15" s="40" t="n">
        <v>600</v>
      </c>
    </row>
    <row r="16" s="33" customFormat="true" ht="14.25" hidden="false" customHeight="false" outlineLevel="0" collapsed="false">
      <c r="A16" s="34" t="n">
        <f aca="false">A15+1</f>
        <v>11</v>
      </c>
      <c r="B16" s="35" t="s">
        <v>17</v>
      </c>
      <c r="C16" s="36" t="str">
        <f aca="false">"0013671"</f>
        <v>0013671</v>
      </c>
      <c r="D16" s="37" t="s">
        <v>28</v>
      </c>
      <c r="E16" s="35" t="n">
        <v>2003</v>
      </c>
      <c r="F16" s="38" t="n">
        <v>2319.45</v>
      </c>
      <c r="G16" s="39" t="n">
        <v>1</v>
      </c>
      <c r="H16" s="40" t="n">
        <v>150</v>
      </c>
    </row>
    <row r="17" s="33" customFormat="true" ht="14.25" hidden="false" customHeight="false" outlineLevel="0" collapsed="false">
      <c r="A17" s="34" t="n">
        <f aca="false">A16+1</f>
        <v>12</v>
      </c>
      <c r="B17" s="35" t="s">
        <v>17</v>
      </c>
      <c r="C17" s="36" t="str">
        <f aca="false">"0013908"</f>
        <v>0013908</v>
      </c>
      <c r="D17" s="37" t="s">
        <v>29</v>
      </c>
      <c r="E17" s="35" t="n">
        <v>2004</v>
      </c>
      <c r="F17" s="38" t="n">
        <v>2985.58</v>
      </c>
      <c r="G17" s="39" t="n">
        <v>1</v>
      </c>
      <c r="H17" s="40" t="n">
        <v>200</v>
      </c>
    </row>
    <row r="18" s="33" customFormat="true" ht="14.25" hidden="false" customHeight="false" outlineLevel="0" collapsed="false">
      <c r="A18" s="34" t="n">
        <f aca="false">A17+1</f>
        <v>13</v>
      </c>
      <c r="B18" s="35" t="s">
        <v>17</v>
      </c>
      <c r="C18" s="36" t="str">
        <f aca="false">"0014031"</f>
        <v>0014031</v>
      </c>
      <c r="D18" s="37" t="s">
        <v>30</v>
      </c>
      <c r="E18" s="35" t="n">
        <v>2004</v>
      </c>
      <c r="F18" s="38" t="n">
        <v>7643</v>
      </c>
      <c r="G18" s="39" t="n">
        <v>1</v>
      </c>
      <c r="H18" s="40" t="n">
        <v>640</v>
      </c>
    </row>
    <row r="19" s="33" customFormat="true" ht="15" hidden="false" customHeight="false" outlineLevel="0" collapsed="false">
      <c r="A19" s="41" t="n">
        <f aca="false">A18+1</f>
        <v>14</v>
      </c>
      <c r="B19" s="35" t="s">
        <v>17</v>
      </c>
      <c r="C19" s="36" t="str">
        <f aca="false">"0014141"</f>
        <v>0014141</v>
      </c>
      <c r="D19" s="37" t="s">
        <v>31</v>
      </c>
      <c r="E19" s="35" t="n">
        <v>2004</v>
      </c>
      <c r="F19" s="38" t="n">
        <v>41558</v>
      </c>
      <c r="G19" s="39" t="n">
        <v>1</v>
      </c>
      <c r="H19" s="40" t="n">
        <v>2660</v>
      </c>
    </row>
    <row r="20" s="33" customFormat="true" ht="15" hidden="false" customHeight="false" outlineLevel="0" collapsed="false">
      <c r="A20" s="41" t="n">
        <f aca="false">A19+1</f>
        <v>15</v>
      </c>
      <c r="B20" s="35" t="s">
        <v>17</v>
      </c>
      <c r="C20" s="36" t="str">
        <f aca="false">"0014990"</f>
        <v>0014990</v>
      </c>
      <c r="D20" s="37" t="s">
        <v>32</v>
      </c>
      <c r="E20" s="35" t="n">
        <v>2005</v>
      </c>
      <c r="F20" s="38" t="n">
        <v>7670.1</v>
      </c>
      <c r="G20" s="39" t="n">
        <v>1</v>
      </c>
      <c r="H20" s="40" t="n">
        <v>750</v>
      </c>
    </row>
    <row r="21" s="33" customFormat="true" ht="14.25" hidden="false" customHeight="false" outlineLevel="0" collapsed="false">
      <c r="A21" s="42" t="n">
        <f aca="false">A20+1</f>
        <v>16</v>
      </c>
      <c r="B21" s="35" t="s">
        <v>17</v>
      </c>
      <c r="C21" s="36" t="str">
        <f aca="false">"0015124"</f>
        <v>0015124</v>
      </c>
      <c r="D21" s="37" t="s">
        <v>33</v>
      </c>
      <c r="E21" s="35" t="n">
        <v>2005</v>
      </c>
      <c r="F21" s="38" t="n">
        <v>1170</v>
      </c>
      <c r="G21" s="39" t="n">
        <v>1</v>
      </c>
      <c r="H21" s="40" t="n">
        <v>80</v>
      </c>
    </row>
    <row r="22" s="33" customFormat="true" ht="14.25" hidden="false" customHeight="false" outlineLevel="0" collapsed="false">
      <c r="A22" s="34" t="n">
        <f aca="false">A21+1</f>
        <v>17</v>
      </c>
      <c r="B22" s="35" t="s">
        <v>17</v>
      </c>
      <c r="C22" s="36" t="str">
        <f aca="false">"0015150"</f>
        <v>0015150</v>
      </c>
      <c r="D22" s="37" t="s">
        <v>34</v>
      </c>
      <c r="E22" s="35" t="n">
        <v>2005</v>
      </c>
      <c r="F22" s="38" t="n">
        <v>1348</v>
      </c>
      <c r="G22" s="39" t="n">
        <v>1</v>
      </c>
      <c r="H22" s="40" t="n">
        <v>100</v>
      </c>
    </row>
    <row r="23" s="33" customFormat="true" ht="14.25" hidden="false" customHeight="false" outlineLevel="0" collapsed="false">
      <c r="A23" s="34" t="n">
        <f aca="false">A22+1</f>
        <v>18</v>
      </c>
      <c r="B23" s="35" t="s">
        <v>17</v>
      </c>
      <c r="C23" s="36" t="str">
        <f aca="false">"0015193"</f>
        <v>0015193</v>
      </c>
      <c r="D23" s="37" t="s">
        <v>35</v>
      </c>
      <c r="E23" s="35" t="n">
        <v>2005</v>
      </c>
      <c r="F23" s="38" t="n">
        <v>2395</v>
      </c>
      <c r="G23" s="39" t="n">
        <v>1</v>
      </c>
      <c r="H23" s="40" t="n">
        <v>150</v>
      </c>
    </row>
    <row r="24" s="33" customFormat="true" ht="14.25" hidden="false" customHeight="false" outlineLevel="0" collapsed="false">
      <c r="A24" s="34" t="n">
        <f aca="false">A23+1</f>
        <v>19</v>
      </c>
      <c r="B24" s="35" t="s">
        <v>17</v>
      </c>
      <c r="C24" s="36" t="str">
        <f aca="false">"0015266"</f>
        <v>0015266</v>
      </c>
      <c r="D24" s="37" t="s">
        <v>36</v>
      </c>
      <c r="E24" s="35" t="n">
        <v>2005</v>
      </c>
      <c r="F24" s="38" t="n">
        <v>34466.16</v>
      </c>
      <c r="G24" s="39" t="n">
        <v>1</v>
      </c>
      <c r="H24" s="40" t="n">
        <v>3200</v>
      </c>
    </row>
    <row r="25" s="33" customFormat="true" ht="14.25" hidden="false" customHeight="false" outlineLevel="0" collapsed="false">
      <c r="A25" s="34" t="n">
        <f aca="false">A24+1</f>
        <v>20</v>
      </c>
      <c r="B25" s="35" t="s">
        <v>17</v>
      </c>
      <c r="C25" s="36" t="str">
        <f aca="false">"0015301"</f>
        <v>0015301</v>
      </c>
      <c r="D25" s="37" t="s">
        <v>37</v>
      </c>
      <c r="E25" s="35" t="n">
        <v>2005</v>
      </c>
      <c r="F25" s="38" t="n">
        <v>778</v>
      </c>
      <c r="G25" s="39" t="n">
        <v>2</v>
      </c>
      <c r="H25" s="40" t="n">
        <v>120</v>
      </c>
    </row>
    <row r="26" s="33" customFormat="true" ht="14.25" hidden="false" customHeight="false" outlineLevel="0" collapsed="false">
      <c r="A26" s="34" t="n">
        <f aca="false">A25+1</f>
        <v>21</v>
      </c>
      <c r="B26" s="35" t="s">
        <v>17</v>
      </c>
      <c r="C26" s="36" t="str">
        <f aca="false">"0015527"</f>
        <v>0015527</v>
      </c>
      <c r="D26" s="37" t="s">
        <v>38</v>
      </c>
      <c r="E26" s="35" t="n">
        <v>2006</v>
      </c>
      <c r="F26" s="38" t="n">
        <v>5655</v>
      </c>
      <c r="G26" s="39" t="n">
        <v>1</v>
      </c>
      <c r="H26" s="40" t="n">
        <v>350</v>
      </c>
    </row>
    <row r="27" s="33" customFormat="true" ht="14.25" hidden="false" customHeight="false" outlineLevel="0" collapsed="false">
      <c r="A27" s="34" t="n">
        <f aca="false">A26+1</f>
        <v>22</v>
      </c>
      <c r="B27" s="35" t="s">
        <v>17</v>
      </c>
      <c r="C27" s="36" t="str">
        <f aca="false">"0015529"</f>
        <v>0015529</v>
      </c>
      <c r="D27" s="37" t="s">
        <v>39</v>
      </c>
      <c r="E27" s="35" t="n">
        <v>2006</v>
      </c>
      <c r="F27" s="38" t="n">
        <v>1713</v>
      </c>
      <c r="G27" s="39" t="n">
        <v>1</v>
      </c>
      <c r="H27" s="40" t="n">
        <v>110</v>
      </c>
    </row>
    <row r="28" s="33" customFormat="true" ht="14.25" hidden="false" customHeight="false" outlineLevel="0" collapsed="false">
      <c r="A28" s="34" t="n">
        <f aca="false">A27+1</f>
        <v>23</v>
      </c>
      <c r="B28" s="35" t="s">
        <v>17</v>
      </c>
      <c r="C28" s="36" t="str">
        <f aca="false">"0015725"</f>
        <v>0015725</v>
      </c>
      <c r="D28" s="37" t="s">
        <v>34</v>
      </c>
      <c r="E28" s="35" t="n">
        <v>2006</v>
      </c>
      <c r="F28" s="38" t="n">
        <v>1330</v>
      </c>
      <c r="G28" s="39" t="n">
        <v>1</v>
      </c>
      <c r="H28" s="40" t="n">
        <v>90</v>
      </c>
    </row>
    <row r="29" s="33" customFormat="true" ht="14.25" hidden="false" customHeight="false" outlineLevel="0" collapsed="false">
      <c r="A29" s="34" t="n">
        <f aca="false">A28+1</f>
        <v>24</v>
      </c>
      <c r="B29" s="35" t="s">
        <v>17</v>
      </c>
      <c r="C29" s="36" t="str">
        <f aca="false">"0015787"</f>
        <v>0015787</v>
      </c>
      <c r="D29" s="37" t="s">
        <v>40</v>
      </c>
      <c r="E29" s="35" t="n">
        <v>2006</v>
      </c>
      <c r="F29" s="38" t="n">
        <v>1300</v>
      </c>
      <c r="G29" s="39" t="n">
        <v>3</v>
      </c>
      <c r="H29" s="40" t="n">
        <v>270</v>
      </c>
    </row>
    <row r="30" s="33" customFormat="true" ht="14.25" hidden="false" customHeight="false" outlineLevel="0" collapsed="false">
      <c r="A30" s="34" t="n">
        <f aca="false">A29+1</f>
        <v>25</v>
      </c>
      <c r="B30" s="35" t="s">
        <v>17</v>
      </c>
      <c r="C30" s="36" t="str">
        <f aca="false">"0030959"</f>
        <v>0030959</v>
      </c>
      <c r="D30" s="37" t="s">
        <v>41</v>
      </c>
      <c r="E30" s="35" t="n">
        <v>1990</v>
      </c>
      <c r="F30" s="38" t="n">
        <v>1187.66</v>
      </c>
      <c r="G30" s="39" t="n">
        <v>1</v>
      </c>
      <c r="H30" s="40" t="n">
        <v>50</v>
      </c>
    </row>
    <row r="31" s="33" customFormat="true" ht="14.25" hidden="false" customHeight="false" outlineLevel="0" collapsed="false">
      <c r="A31" s="34" t="n">
        <f aca="false">A30+1</f>
        <v>26</v>
      </c>
      <c r="B31" s="35" t="s">
        <v>17</v>
      </c>
      <c r="C31" s="36" t="str">
        <f aca="false">"0030962"</f>
        <v>0030962</v>
      </c>
      <c r="D31" s="37" t="s">
        <v>41</v>
      </c>
      <c r="E31" s="35" t="n">
        <v>1990</v>
      </c>
      <c r="F31" s="38" t="n">
        <v>934.36</v>
      </c>
      <c r="G31" s="39" t="n">
        <v>2</v>
      </c>
      <c r="H31" s="40" t="n">
        <v>80</v>
      </c>
    </row>
    <row r="32" s="33" customFormat="true" ht="14.25" hidden="false" customHeight="false" outlineLevel="0" collapsed="false">
      <c r="A32" s="34" t="n">
        <f aca="false">A31+1</f>
        <v>27</v>
      </c>
      <c r="B32" s="35" t="s">
        <v>17</v>
      </c>
      <c r="C32" s="36" t="str">
        <f aca="false">"0030964"</f>
        <v>0030964</v>
      </c>
      <c r="D32" s="37" t="s">
        <v>42</v>
      </c>
      <c r="E32" s="35" t="n">
        <v>1990</v>
      </c>
      <c r="F32" s="38" t="n">
        <v>2375.31</v>
      </c>
      <c r="G32" s="39" t="n">
        <v>1</v>
      </c>
      <c r="H32" s="40" t="n">
        <v>110</v>
      </c>
    </row>
    <row r="33" s="33" customFormat="true" ht="14.25" hidden="false" customHeight="false" outlineLevel="0" collapsed="false">
      <c r="A33" s="34" t="n">
        <f aca="false">A32+1</f>
        <v>28</v>
      </c>
      <c r="B33" s="35" t="s">
        <v>17</v>
      </c>
      <c r="C33" s="36" t="str">
        <f aca="false">"0030965"</f>
        <v>0030965</v>
      </c>
      <c r="D33" s="37" t="s">
        <v>43</v>
      </c>
      <c r="E33" s="35" t="n">
        <v>1990</v>
      </c>
      <c r="F33" s="38" t="n">
        <v>2493.51</v>
      </c>
      <c r="G33" s="39" t="n">
        <v>1</v>
      </c>
      <c r="H33" s="40" t="n">
        <v>115</v>
      </c>
    </row>
    <row r="34" s="33" customFormat="true" ht="14.25" hidden="false" customHeight="false" outlineLevel="0" collapsed="false">
      <c r="A34" s="34" t="n">
        <f aca="false">A33+1</f>
        <v>29</v>
      </c>
      <c r="B34" s="35" t="s">
        <v>17</v>
      </c>
      <c r="C34" s="36" t="str">
        <f aca="false">"0030966"</f>
        <v>0030966</v>
      </c>
      <c r="D34" s="37" t="s">
        <v>44</v>
      </c>
      <c r="E34" s="35" t="n">
        <v>1990</v>
      </c>
      <c r="F34" s="38" t="n">
        <v>2527.29</v>
      </c>
      <c r="G34" s="39" t="n">
        <v>1</v>
      </c>
      <c r="H34" s="40" t="n">
        <v>115</v>
      </c>
    </row>
    <row r="35" s="33" customFormat="true" ht="14.25" hidden="false" customHeight="false" outlineLevel="0" collapsed="false">
      <c r="A35" s="34" t="n">
        <f aca="false">A34+1</f>
        <v>30</v>
      </c>
      <c r="B35" s="35" t="s">
        <v>17</v>
      </c>
      <c r="C35" s="36" t="str">
        <f aca="false">"0030970"</f>
        <v>0030970</v>
      </c>
      <c r="D35" s="37" t="s">
        <v>45</v>
      </c>
      <c r="E35" s="35" t="n">
        <v>1990</v>
      </c>
      <c r="F35" s="38" t="n">
        <v>292.69</v>
      </c>
      <c r="G35" s="39" t="n">
        <v>1</v>
      </c>
      <c r="H35" s="40" t="n">
        <v>10</v>
      </c>
    </row>
    <row r="36" s="33" customFormat="true" ht="14.25" hidden="false" customHeight="false" outlineLevel="0" collapsed="false">
      <c r="A36" s="34" t="n">
        <f aca="false">A35+1</f>
        <v>31</v>
      </c>
      <c r="B36" s="35" t="s">
        <v>17</v>
      </c>
      <c r="C36" s="36" t="str">
        <f aca="false">"0032042"</f>
        <v>0032042</v>
      </c>
      <c r="D36" s="37" t="s">
        <v>46</v>
      </c>
      <c r="E36" s="35" t="n">
        <v>1996</v>
      </c>
      <c r="F36" s="38" t="n">
        <v>1480.05</v>
      </c>
      <c r="G36" s="39" t="n">
        <v>1</v>
      </c>
      <c r="H36" s="40" t="n">
        <v>70</v>
      </c>
    </row>
    <row r="37" s="33" customFormat="true" ht="14.25" hidden="false" customHeight="false" outlineLevel="0" collapsed="false">
      <c r="A37" s="34" t="n">
        <f aca="false">A36+1</f>
        <v>32</v>
      </c>
      <c r="B37" s="35" t="s">
        <v>17</v>
      </c>
      <c r="C37" s="36" t="str">
        <f aca="false">"0032046"</f>
        <v>0032046</v>
      </c>
      <c r="D37" s="37" t="s">
        <v>47</v>
      </c>
      <c r="E37" s="35" t="n">
        <v>1996</v>
      </c>
      <c r="F37" s="38" t="n">
        <v>2464.45</v>
      </c>
      <c r="G37" s="39" t="n">
        <v>1</v>
      </c>
      <c r="H37" s="40" t="n">
        <v>125</v>
      </c>
    </row>
    <row r="38" s="33" customFormat="true" ht="14.25" hidden="false" customHeight="false" outlineLevel="0" collapsed="false">
      <c r="A38" s="34" t="n">
        <f aca="false">A37+1</f>
        <v>33</v>
      </c>
      <c r="B38" s="35" t="s">
        <v>17</v>
      </c>
      <c r="C38" s="36" t="str">
        <f aca="false">"0032085"</f>
        <v>0032085</v>
      </c>
      <c r="D38" s="37" t="s">
        <v>48</v>
      </c>
      <c r="E38" s="35" t="n">
        <v>1996</v>
      </c>
      <c r="F38" s="38" t="n">
        <v>3918.66</v>
      </c>
      <c r="G38" s="39" t="n">
        <v>1</v>
      </c>
      <c r="H38" s="40" t="n">
        <v>250</v>
      </c>
    </row>
    <row r="39" s="33" customFormat="true" ht="14.25" hidden="false" customHeight="false" outlineLevel="0" collapsed="false">
      <c r="A39" s="34" t="n">
        <f aca="false">A38+1</f>
        <v>34</v>
      </c>
      <c r="B39" s="35" t="s">
        <v>17</v>
      </c>
      <c r="C39" s="36" t="str">
        <f aca="false">"0032159"</f>
        <v>0032159</v>
      </c>
      <c r="D39" s="37" t="s">
        <v>49</v>
      </c>
      <c r="E39" s="35" t="n">
        <v>1996</v>
      </c>
      <c r="F39" s="38" t="n">
        <v>2767.29</v>
      </c>
      <c r="G39" s="39" t="n">
        <v>1</v>
      </c>
      <c r="H39" s="40" t="n">
        <v>140</v>
      </c>
    </row>
    <row r="40" s="33" customFormat="true" ht="14.25" hidden="false" customHeight="false" outlineLevel="0" collapsed="false">
      <c r="A40" s="34" t="n">
        <f aca="false">A39+1</f>
        <v>35</v>
      </c>
      <c r="B40" s="35" t="s">
        <v>17</v>
      </c>
      <c r="C40" s="36" t="str">
        <f aca="false">"0032160"</f>
        <v>0032160</v>
      </c>
      <c r="D40" s="37" t="s">
        <v>50</v>
      </c>
      <c r="E40" s="35" t="n">
        <v>1997</v>
      </c>
      <c r="F40" s="38" t="n">
        <v>2576.28</v>
      </c>
      <c r="G40" s="39" t="n">
        <v>1</v>
      </c>
      <c r="H40" s="40" t="n">
        <v>300</v>
      </c>
    </row>
    <row r="41" s="33" customFormat="true" ht="14.25" hidden="false" customHeight="false" outlineLevel="0" collapsed="false">
      <c r="A41" s="34" t="n">
        <f aca="false">A40+1</f>
        <v>36</v>
      </c>
      <c r="B41" s="35" t="s">
        <v>17</v>
      </c>
      <c r="C41" s="36" t="str">
        <f aca="false">"0032161"</f>
        <v>0032161</v>
      </c>
      <c r="D41" s="37" t="s">
        <v>51</v>
      </c>
      <c r="E41" s="35" t="n">
        <v>1997</v>
      </c>
      <c r="F41" s="38" t="n">
        <v>1587</v>
      </c>
      <c r="G41" s="39" t="n">
        <v>2</v>
      </c>
      <c r="H41" s="40" t="n">
        <v>360</v>
      </c>
    </row>
    <row r="42" s="33" customFormat="true" ht="14.25" hidden="false" customHeight="false" outlineLevel="0" collapsed="false">
      <c r="A42" s="34" t="n">
        <f aca="false">A41+1</f>
        <v>37</v>
      </c>
      <c r="B42" s="35" t="s">
        <v>17</v>
      </c>
      <c r="C42" s="36" t="str">
        <f aca="false">"0032311"</f>
        <v>0032311</v>
      </c>
      <c r="D42" s="37" t="s">
        <v>52</v>
      </c>
      <c r="E42" s="35" t="n">
        <v>1999</v>
      </c>
      <c r="F42" s="38" t="n">
        <v>1171.08</v>
      </c>
      <c r="G42" s="39" t="n">
        <v>2</v>
      </c>
      <c r="H42" s="40" t="n">
        <v>140</v>
      </c>
    </row>
    <row r="43" s="33" customFormat="true" ht="14.25" hidden="false" customHeight="false" outlineLevel="0" collapsed="false">
      <c r="A43" s="34" t="n">
        <f aca="false">A42+1</f>
        <v>38</v>
      </c>
      <c r="B43" s="35" t="s">
        <v>17</v>
      </c>
      <c r="C43" s="36" t="str">
        <f aca="false">"0032465"</f>
        <v>0032465</v>
      </c>
      <c r="D43" s="37" t="s">
        <v>53</v>
      </c>
      <c r="E43" s="35" t="n">
        <v>2000</v>
      </c>
      <c r="F43" s="38" t="n">
        <v>379891.34</v>
      </c>
      <c r="G43" s="39" t="n">
        <v>1</v>
      </c>
      <c r="H43" s="40" t="n">
        <v>22150</v>
      </c>
    </row>
    <row r="44" s="33" customFormat="true" ht="14.25" hidden="false" customHeight="false" outlineLevel="0" collapsed="false">
      <c r="A44" s="34" t="n">
        <f aca="false">A43+1</f>
        <v>39</v>
      </c>
      <c r="B44" s="35" t="s">
        <v>17</v>
      </c>
      <c r="C44" s="36" t="str">
        <f aca="false">"0032752"</f>
        <v>0032752</v>
      </c>
      <c r="D44" s="37" t="s">
        <v>54</v>
      </c>
      <c r="E44" s="35" t="n">
        <v>2001</v>
      </c>
      <c r="F44" s="38" t="n">
        <v>7856.64</v>
      </c>
      <c r="G44" s="39" t="n">
        <v>1</v>
      </c>
      <c r="H44" s="40" t="n">
        <v>480</v>
      </c>
    </row>
    <row r="45" s="33" customFormat="true" ht="14.25" hidden="false" customHeight="false" outlineLevel="0" collapsed="false">
      <c r="A45" s="34" t="n">
        <f aca="false">A44+1</f>
        <v>40</v>
      </c>
      <c r="B45" s="35" t="s">
        <v>17</v>
      </c>
      <c r="C45" s="36" t="str">
        <f aca="false">"0032754"</f>
        <v>0032754</v>
      </c>
      <c r="D45" s="37" t="s">
        <v>55</v>
      </c>
      <c r="E45" s="35" t="n">
        <v>2001</v>
      </c>
      <c r="F45" s="38" t="n">
        <v>7931.04</v>
      </c>
      <c r="G45" s="39" t="n">
        <v>1</v>
      </c>
      <c r="H45" s="40" t="n">
        <v>500</v>
      </c>
    </row>
    <row r="46" s="33" customFormat="true" ht="14.25" hidden="false" customHeight="false" outlineLevel="0" collapsed="false">
      <c r="A46" s="34" t="n">
        <f aca="false">A45+1</f>
        <v>41</v>
      </c>
      <c r="B46" s="35" t="s">
        <v>17</v>
      </c>
      <c r="C46" s="36" t="str">
        <f aca="false">"0032755"</f>
        <v>0032755</v>
      </c>
      <c r="D46" s="37" t="s">
        <v>56</v>
      </c>
      <c r="E46" s="35" t="n">
        <v>2001</v>
      </c>
      <c r="F46" s="38" t="n">
        <v>10561.08</v>
      </c>
      <c r="G46" s="39" t="n">
        <v>1</v>
      </c>
      <c r="H46" s="40" t="n">
        <v>645</v>
      </c>
    </row>
    <row r="47" s="33" customFormat="true" ht="14.25" hidden="false" customHeight="false" outlineLevel="0" collapsed="false">
      <c r="A47" s="34" t="n">
        <f aca="false">A46+1</f>
        <v>42</v>
      </c>
      <c r="B47" s="35" t="s">
        <v>17</v>
      </c>
      <c r="C47" s="36" t="str">
        <f aca="false">"0032766"</f>
        <v>0032766</v>
      </c>
      <c r="D47" s="37" t="s">
        <v>57</v>
      </c>
      <c r="E47" s="35" t="n">
        <v>2001</v>
      </c>
      <c r="F47" s="38" t="n">
        <v>3782.36</v>
      </c>
      <c r="G47" s="39" t="n">
        <v>1</v>
      </c>
      <c r="H47" s="40" t="n">
        <v>230</v>
      </c>
    </row>
    <row r="48" s="33" customFormat="true" ht="14.25" hidden="false" customHeight="false" outlineLevel="0" collapsed="false">
      <c r="A48" s="34" t="n">
        <f aca="false">A47+1</f>
        <v>43</v>
      </c>
      <c r="B48" s="35" t="s">
        <v>17</v>
      </c>
      <c r="C48" s="36" t="str">
        <f aca="false">"0032767"</f>
        <v>0032767</v>
      </c>
      <c r="D48" s="37" t="s">
        <v>58</v>
      </c>
      <c r="E48" s="35" t="n">
        <v>2001</v>
      </c>
      <c r="F48" s="38" t="n">
        <v>6235.54</v>
      </c>
      <c r="G48" s="39" t="n">
        <v>1</v>
      </c>
      <c r="H48" s="40" t="n">
        <v>400</v>
      </c>
    </row>
    <row r="49" s="33" customFormat="true" ht="14.25" hidden="false" customHeight="false" outlineLevel="0" collapsed="false">
      <c r="A49" s="34" t="n">
        <f aca="false">A48+1</f>
        <v>44</v>
      </c>
      <c r="B49" s="35" t="s">
        <v>17</v>
      </c>
      <c r="C49" s="36" t="str">
        <f aca="false">"0032768"</f>
        <v>0032768</v>
      </c>
      <c r="D49" s="37" t="s">
        <v>59</v>
      </c>
      <c r="E49" s="35" t="n">
        <v>2001</v>
      </c>
      <c r="F49" s="38" t="n">
        <v>9898.92</v>
      </c>
      <c r="G49" s="39" t="n">
        <v>1</v>
      </c>
      <c r="H49" s="40" t="n">
        <v>600</v>
      </c>
    </row>
    <row r="50" s="33" customFormat="true" ht="14.25" hidden="false" customHeight="false" outlineLevel="0" collapsed="false">
      <c r="A50" s="34" t="n">
        <f aca="false">A49+1</f>
        <v>45</v>
      </c>
      <c r="B50" s="35" t="s">
        <v>17</v>
      </c>
      <c r="C50" s="36" t="str">
        <f aca="false">"0032769"</f>
        <v>0032769</v>
      </c>
      <c r="D50" s="37" t="s">
        <v>60</v>
      </c>
      <c r="E50" s="35" t="n">
        <v>2001</v>
      </c>
      <c r="F50" s="38" t="n">
        <v>7856.64</v>
      </c>
      <c r="G50" s="39" t="n">
        <v>1</v>
      </c>
      <c r="H50" s="40" t="n">
        <v>480</v>
      </c>
    </row>
    <row r="51" s="33" customFormat="true" ht="14.25" hidden="false" customHeight="false" outlineLevel="0" collapsed="false">
      <c r="A51" s="34" t="n">
        <f aca="false">A50+1</f>
        <v>46</v>
      </c>
      <c r="B51" s="35" t="s">
        <v>17</v>
      </c>
      <c r="C51" s="36" t="str">
        <f aca="false">"0033301"</f>
        <v>0033301</v>
      </c>
      <c r="D51" s="37" t="s">
        <v>61</v>
      </c>
      <c r="E51" s="35" t="n">
        <v>2003</v>
      </c>
      <c r="F51" s="38" t="n">
        <v>1870</v>
      </c>
      <c r="G51" s="39" t="n">
        <v>1</v>
      </c>
      <c r="H51" s="40" t="n">
        <v>115</v>
      </c>
    </row>
    <row r="52" s="33" customFormat="true" ht="14.25" hidden="false" customHeight="false" outlineLevel="0" collapsed="false">
      <c r="A52" s="34" t="n">
        <f aca="false">A51+1</f>
        <v>47</v>
      </c>
      <c r="B52" s="35" t="s">
        <v>17</v>
      </c>
      <c r="C52" s="36" t="str">
        <f aca="false">"0033382"</f>
        <v>0033382</v>
      </c>
      <c r="D52" s="37" t="s">
        <v>62</v>
      </c>
      <c r="E52" s="35" t="n">
        <v>2003</v>
      </c>
      <c r="F52" s="38" t="n">
        <v>1850</v>
      </c>
      <c r="G52" s="39" t="n">
        <v>1</v>
      </c>
      <c r="H52" s="40" t="n">
        <v>115</v>
      </c>
    </row>
    <row r="53" s="33" customFormat="true" ht="14.25" hidden="false" customHeight="false" outlineLevel="0" collapsed="false">
      <c r="A53" s="34" t="n">
        <f aca="false">A52+1</f>
        <v>48</v>
      </c>
      <c r="B53" s="35" t="s">
        <v>17</v>
      </c>
      <c r="C53" s="36" t="str">
        <f aca="false">"0034539"</f>
        <v>0034539</v>
      </c>
      <c r="D53" s="37" t="s">
        <v>63</v>
      </c>
      <c r="E53" s="35" t="n">
        <v>2006</v>
      </c>
      <c r="F53" s="38" t="n">
        <v>2800</v>
      </c>
      <c r="G53" s="39" t="n">
        <v>1</v>
      </c>
      <c r="H53" s="40" t="n">
        <v>240</v>
      </c>
    </row>
    <row r="54" s="33" customFormat="true" ht="14.25" hidden="false" customHeight="false" outlineLevel="0" collapsed="false">
      <c r="A54" s="34" t="n">
        <f aca="false">A53+1</f>
        <v>49</v>
      </c>
      <c r="B54" s="35" t="s">
        <v>17</v>
      </c>
      <c r="C54" s="36" t="str">
        <f aca="false">"0034763"</f>
        <v>0034763</v>
      </c>
      <c r="D54" s="37" t="s">
        <v>64</v>
      </c>
      <c r="E54" s="35" t="n">
        <v>2006</v>
      </c>
      <c r="F54" s="38" t="n">
        <v>1566</v>
      </c>
      <c r="G54" s="39" t="n">
        <v>1</v>
      </c>
      <c r="H54" s="40" t="n">
        <v>100</v>
      </c>
    </row>
    <row r="55" s="33" customFormat="true" ht="14.25" hidden="false" customHeight="false" outlineLevel="0" collapsed="false">
      <c r="A55" s="34" t="n">
        <f aca="false">A54+1</f>
        <v>50</v>
      </c>
      <c r="B55" s="35" t="s">
        <v>17</v>
      </c>
      <c r="C55" s="36" t="str">
        <f aca="false">"0035234"</f>
        <v>0035234</v>
      </c>
      <c r="D55" s="37" t="s">
        <v>65</v>
      </c>
      <c r="E55" s="35" t="n">
        <v>2007</v>
      </c>
      <c r="F55" s="38" t="n">
        <v>899</v>
      </c>
      <c r="G55" s="39" t="n">
        <v>1</v>
      </c>
      <c r="H55" s="40" t="n">
        <v>80</v>
      </c>
    </row>
    <row r="56" s="33" customFormat="true" ht="14.25" hidden="false" customHeight="false" outlineLevel="0" collapsed="false">
      <c r="A56" s="34" t="n">
        <f aca="false">A55+1</f>
        <v>51</v>
      </c>
      <c r="B56" s="35" t="s">
        <v>17</v>
      </c>
      <c r="C56" s="36" t="str">
        <f aca="false">"0035304"</f>
        <v>0035304</v>
      </c>
      <c r="D56" s="37" t="s">
        <v>66</v>
      </c>
      <c r="E56" s="35" t="n">
        <v>2007</v>
      </c>
      <c r="F56" s="38" t="n">
        <v>6385</v>
      </c>
      <c r="G56" s="39" t="n">
        <v>1</v>
      </c>
      <c r="H56" s="40" t="n">
        <v>470</v>
      </c>
    </row>
    <row r="57" s="33" customFormat="true" ht="14.25" hidden="false" customHeight="false" outlineLevel="0" collapsed="false">
      <c r="A57" s="34" t="n">
        <f aca="false">A56+1</f>
        <v>52</v>
      </c>
      <c r="B57" s="35" t="s">
        <v>17</v>
      </c>
      <c r="C57" s="36" t="str">
        <f aca="false">"0035372"</f>
        <v>0035372</v>
      </c>
      <c r="D57" s="37" t="s">
        <v>67</v>
      </c>
      <c r="E57" s="35" t="n">
        <v>2007</v>
      </c>
      <c r="F57" s="38" t="n">
        <v>1780</v>
      </c>
      <c r="G57" s="39" t="n">
        <v>1</v>
      </c>
      <c r="H57" s="40" t="n">
        <v>130</v>
      </c>
    </row>
    <row r="58" s="33" customFormat="true" ht="14.25" hidden="false" customHeight="false" outlineLevel="0" collapsed="false">
      <c r="A58" s="34" t="n">
        <f aca="false">A57+1</f>
        <v>53</v>
      </c>
      <c r="B58" s="35" t="s">
        <v>17</v>
      </c>
      <c r="C58" s="36" t="str">
        <f aca="false">"0035800"</f>
        <v>0035800</v>
      </c>
      <c r="D58" s="37" t="s">
        <v>68</v>
      </c>
      <c r="E58" s="35" t="n">
        <v>2007</v>
      </c>
      <c r="F58" s="38" t="n">
        <v>460</v>
      </c>
      <c r="G58" s="39" t="n">
        <v>1</v>
      </c>
      <c r="H58" s="40" t="n">
        <v>30</v>
      </c>
    </row>
    <row r="59" s="33" customFormat="true" ht="14.25" hidden="false" customHeight="false" outlineLevel="0" collapsed="false">
      <c r="A59" s="34" t="n">
        <f aca="false">A58+1</f>
        <v>54</v>
      </c>
      <c r="B59" s="35" t="s">
        <v>17</v>
      </c>
      <c r="C59" s="36" t="str">
        <f aca="false">"0035972"</f>
        <v>0035972</v>
      </c>
      <c r="D59" s="37" t="s">
        <v>69</v>
      </c>
      <c r="E59" s="35" t="n">
        <v>2007</v>
      </c>
      <c r="F59" s="38" t="n">
        <v>2555</v>
      </c>
      <c r="G59" s="39" t="n">
        <v>1</v>
      </c>
      <c r="H59" s="40" t="n">
        <v>190</v>
      </c>
    </row>
    <row r="60" s="33" customFormat="true" ht="14.25" hidden="false" customHeight="false" outlineLevel="0" collapsed="false">
      <c r="A60" s="34" t="n">
        <f aca="false">A59+1</f>
        <v>55</v>
      </c>
      <c r="B60" s="35" t="s">
        <v>17</v>
      </c>
      <c r="C60" s="36" t="str">
        <f aca="false">"0036471"</f>
        <v>0036471</v>
      </c>
      <c r="D60" s="37" t="s">
        <v>70</v>
      </c>
      <c r="E60" s="35" t="n">
        <v>2007</v>
      </c>
      <c r="F60" s="38" t="n">
        <v>222200.15</v>
      </c>
      <c r="G60" s="39" t="n">
        <v>1</v>
      </c>
      <c r="H60" s="40" t="n">
        <v>20620</v>
      </c>
    </row>
    <row r="61" s="33" customFormat="true" ht="14.25" hidden="false" customHeight="false" outlineLevel="0" collapsed="false">
      <c r="A61" s="34" t="n">
        <f aca="false">A60+1</f>
        <v>56</v>
      </c>
      <c r="B61" s="35" t="s">
        <v>17</v>
      </c>
      <c r="C61" s="36" t="str">
        <f aca="false">"0037531"</f>
        <v>0037531</v>
      </c>
      <c r="D61" s="37" t="s">
        <v>71</v>
      </c>
      <c r="E61" s="35" t="n">
        <v>2008</v>
      </c>
      <c r="F61" s="38" t="n">
        <v>7288.4</v>
      </c>
      <c r="G61" s="39" t="n">
        <v>2</v>
      </c>
      <c r="H61" s="40" t="n">
        <v>920</v>
      </c>
    </row>
    <row r="62" s="33" customFormat="true" ht="14.25" hidden="false" customHeight="false" outlineLevel="0" collapsed="false">
      <c r="A62" s="34" t="n">
        <f aca="false">A61+1</f>
        <v>57</v>
      </c>
      <c r="B62" s="35" t="s">
        <v>17</v>
      </c>
      <c r="C62" s="36" t="str">
        <f aca="false">"0037533"</f>
        <v>0037533</v>
      </c>
      <c r="D62" s="37" t="s">
        <v>72</v>
      </c>
      <c r="E62" s="35" t="n">
        <v>2008</v>
      </c>
      <c r="F62" s="38" t="n">
        <v>2720.06</v>
      </c>
      <c r="G62" s="39" t="n">
        <v>1</v>
      </c>
      <c r="H62" s="40" t="n">
        <v>170</v>
      </c>
    </row>
    <row r="63" s="33" customFormat="true" ht="14.25" hidden="false" customHeight="false" outlineLevel="0" collapsed="false">
      <c r="A63" s="34" t="n">
        <f aca="false">A62+1</f>
        <v>58</v>
      </c>
      <c r="B63" s="35" t="s">
        <v>17</v>
      </c>
      <c r="C63" s="36" t="str">
        <f aca="false">"0037599"</f>
        <v>0037599</v>
      </c>
      <c r="D63" s="37" t="s">
        <v>31</v>
      </c>
      <c r="E63" s="35" t="n">
        <v>2008</v>
      </c>
      <c r="F63" s="38" t="n">
        <v>46493</v>
      </c>
      <c r="G63" s="39" t="n">
        <v>1</v>
      </c>
      <c r="H63" s="40" t="n">
        <v>4800</v>
      </c>
    </row>
    <row r="64" s="33" customFormat="true" ht="14.25" hidden="false" customHeight="false" outlineLevel="0" collapsed="false">
      <c r="A64" s="34" t="n">
        <f aca="false">A63+1</f>
        <v>59</v>
      </c>
      <c r="B64" s="35" t="s">
        <v>17</v>
      </c>
      <c r="C64" s="36" t="str">
        <f aca="false">"0037602"</f>
        <v>0037602</v>
      </c>
      <c r="D64" s="37" t="s">
        <v>73</v>
      </c>
      <c r="E64" s="35" t="n">
        <v>2008</v>
      </c>
      <c r="F64" s="38" t="n">
        <v>1392.62</v>
      </c>
      <c r="G64" s="39" t="n">
        <v>1</v>
      </c>
      <c r="H64" s="40" t="n">
        <v>90</v>
      </c>
    </row>
    <row r="65" s="33" customFormat="true" ht="14.25" hidden="false" customHeight="false" outlineLevel="0" collapsed="false">
      <c r="A65" s="34" t="n">
        <f aca="false">A64+1</f>
        <v>60</v>
      </c>
      <c r="B65" s="35" t="s">
        <v>17</v>
      </c>
      <c r="C65" s="36" t="str">
        <f aca="false">"0037629"</f>
        <v>0037629</v>
      </c>
      <c r="D65" s="37" t="s">
        <v>74</v>
      </c>
      <c r="E65" s="35" t="n">
        <v>2008</v>
      </c>
      <c r="F65" s="38" t="n">
        <v>1856</v>
      </c>
      <c r="G65" s="39" t="n">
        <v>1</v>
      </c>
      <c r="H65" s="40" t="n">
        <v>190</v>
      </c>
    </row>
    <row r="66" s="33" customFormat="true" ht="14.25" hidden="false" customHeight="false" outlineLevel="0" collapsed="false">
      <c r="A66" s="34" t="n">
        <f aca="false">A65+1</f>
        <v>61</v>
      </c>
      <c r="B66" s="35" t="s">
        <v>17</v>
      </c>
      <c r="C66" s="36" t="str">
        <f aca="false">"0037630"</f>
        <v>0037630</v>
      </c>
      <c r="D66" s="37" t="s">
        <v>75</v>
      </c>
      <c r="E66" s="35" t="n">
        <v>2008</v>
      </c>
      <c r="F66" s="38" t="n">
        <v>2149</v>
      </c>
      <c r="G66" s="39" t="n">
        <v>1</v>
      </c>
      <c r="H66" s="40" t="n">
        <v>220</v>
      </c>
    </row>
    <row r="67" s="33" customFormat="true" ht="14.25" hidden="false" customHeight="false" outlineLevel="0" collapsed="false">
      <c r="A67" s="34" t="n">
        <f aca="false">A66+1</f>
        <v>62</v>
      </c>
      <c r="B67" s="35" t="s">
        <v>17</v>
      </c>
      <c r="C67" s="36" t="str">
        <f aca="false">"0037928"</f>
        <v>0037928</v>
      </c>
      <c r="D67" s="37" t="s">
        <v>76</v>
      </c>
      <c r="E67" s="35" t="n">
        <v>2008</v>
      </c>
      <c r="F67" s="38" t="n">
        <v>1050</v>
      </c>
      <c r="G67" s="39" t="n">
        <v>1</v>
      </c>
      <c r="H67" s="40" t="n">
        <v>110</v>
      </c>
    </row>
    <row r="68" s="33" customFormat="true" ht="14.25" hidden="false" customHeight="false" outlineLevel="0" collapsed="false">
      <c r="A68" s="34" t="n">
        <f aca="false">A67+1</f>
        <v>63</v>
      </c>
      <c r="B68" s="35" t="s">
        <v>17</v>
      </c>
      <c r="C68" s="36" t="str">
        <f aca="false">"0037929"</f>
        <v>0037929</v>
      </c>
      <c r="D68" s="37" t="s">
        <v>77</v>
      </c>
      <c r="E68" s="35" t="n">
        <v>2008</v>
      </c>
      <c r="F68" s="38" t="n">
        <v>1188</v>
      </c>
      <c r="G68" s="39" t="n">
        <v>2</v>
      </c>
      <c r="H68" s="40" t="n">
        <v>240</v>
      </c>
    </row>
    <row r="69" s="33" customFormat="true" ht="14.25" hidden="false" customHeight="false" outlineLevel="0" collapsed="false">
      <c r="A69" s="34" t="n">
        <f aca="false">A68+1</f>
        <v>64</v>
      </c>
      <c r="B69" s="35" t="s">
        <v>17</v>
      </c>
      <c r="C69" s="36" t="str">
        <f aca="false">"0037931"</f>
        <v>0037931</v>
      </c>
      <c r="D69" s="37" t="s">
        <v>77</v>
      </c>
      <c r="E69" s="35" t="n">
        <v>2008</v>
      </c>
      <c r="F69" s="38" t="n">
        <v>1744</v>
      </c>
      <c r="G69" s="39" t="n">
        <v>1</v>
      </c>
      <c r="H69" s="40" t="n">
        <v>180</v>
      </c>
    </row>
    <row r="70" s="33" customFormat="true" ht="14.25" hidden="false" customHeight="false" outlineLevel="0" collapsed="false">
      <c r="A70" s="34" t="n">
        <f aca="false">A69+1</f>
        <v>65</v>
      </c>
      <c r="B70" s="35" t="s">
        <v>17</v>
      </c>
      <c r="C70" s="36" t="str">
        <f aca="false">"0037933"</f>
        <v>0037933</v>
      </c>
      <c r="D70" s="37" t="s">
        <v>78</v>
      </c>
      <c r="E70" s="35" t="n">
        <v>2008</v>
      </c>
      <c r="F70" s="38" t="n">
        <v>547.5</v>
      </c>
      <c r="G70" s="39" t="n">
        <v>2</v>
      </c>
      <c r="H70" s="40" t="n">
        <v>120</v>
      </c>
    </row>
    <row r="71" s="33" customFormat="true" ht="14.25" hidden="false" customHeight="false" outlineLevel="0" collapsed="false">
      <c r="A71" s="34" t="n">
        <f aca="false">A70+1</f>
        <v>66</v>
      </c>
      <c r="B71" s="35" t="s">
        <v>17</v>
      </c>
      <c r="C71" s="36" t="str">
        <f aca="false">"0040185"</f>
        <v>0040185</v>
      </c>
      <c r="D71" s="37" t="s">
        <v>79</v>
      </c>
      <c r="E71" s="35" t="n">
        <v>2009</v>
      </c>
      <c r="F71" s="38" t="n">
        <v>9699.26</v>
      </c>
      <c r="G71" s="39" t="n">
        <v>1</v>
      </c>
      <c r="H71" s="40" t="n">
        <v>620</v>
      </c>
    </row>
    <row r="72" s="33" customFormat="true" ht="14.25" hidden="false" customHeight="false" outlineLevel="0" collapsed="false">
      <c r="A72" s="34" t="n">
        <f aca="false">A71+1</f>
        <v>67</v>
      </c>
      <c r="B72" s="35" t="s">
        <v>17</v>
      </c>
      <c r="C72" s="36" t="str">
        <f aca="false">"0040186"</f>
        <v>0040186</v>
      </c>
      <c r="D72" s="37" t="s">
        <v>80</v>
      </c>
      <c r="E72" s="35" t="n">
        <v>2009</v>
      </c>
      <c r="F72" s="38" t="n">
        <v>1050</v>
      </c>
      <c r="G72" s="39" t="n">
        <v>1</v>
      </c>
      <c r="H72" s="40" t="n">
        <v>120</v>
      </c>
    </row>
    <row r="73" s="33" customFormat="true" ht="14.25" hidden="false" customHeight="false" outlineLevel="0" collapsed="false">
      <c r="A73" s="34" t="n">
        <f aca="false">A72+1</f>
        <v>68</v>
      </c>
      <c r="B73" s="35" t="s">
        <v>17</v>
      </c>
      <c r="C73" s="36" t="str">
        <f aca="false">"0040256"</f>
        <v>0040256</v>
      </c>
      <c r="D73" s="37" t="s">
        <v>81</v>
      </c>
      <c r="E73" s="35" t="n">
        <v>2009</v>
      </c>
      <c r="F73" s="38" t="n">
        <v>1800</v>
      </c>
      <c r="G73" s="39" t="n">
        <v>1</v>
      </c>
      <c r="H73" s="40" t="n">
        <v>200</v>
      </c>
    </row>
    <row r="74" s="33" customFormat="true" ht="14.25" hidden="false" customHeight="false" outlineLevel="0" collapsed="false">
      <c r="A74" s="34" t="n">
        <f aca="false">A73+1</f>
        <v>69</v>
      </c>
      <c r="B74" s="35" t="s">
        <v>17</v>
      </c>
      <c r="C74" s="36" t="str">
        <f aca="false">"0040257"</f>
        <v>0040257</v>
      </c>
      <c r="D74" s="37" t="s">
        <v>82</v>
      </c>
      <c r="E74" s="35" t="n">
        <v>2009</v>
      </c>
      <c r="F74" s="38" t="n">
        <v>1221</v>
      </c>
      <c r="G74" s="39" t="n">
        <v>1</v>
      </c>
      <c r="H74" s="40" t="n">
        <v>130</v>
      </c>
    </row>
    <row r="75" s="33" customFormat="true" ht="14.25" hidden="false" customHeight="false" outlineLevel="0" collapsed="false">
      <c r="A75" s="34" t="n">
        <f aca="false">A74+1</f>
        <v>70</v>
      </c>
      <c r="B75" s="35" t="s">
        <v>17</v>
      </c>
      <c r="C75" s="36" t="str">
        <f aca="false">"0040258"</f>
        <v>0040258</v>
      </c>
      <c r="D75" s="37" t="s">
        <v>83</v>
      </c>
      <c r="E75" s="35" t="n">
        <v>2009</v>
      </c>
      <c r="F75" s="38" t="n">
        <v>2051</v>
      </c>
      <c r="G75" s="39" t="n">
        <v>1</v>
      </c>
      <c r="H75" s="40" t="n">
        <v>230</v>
      </c>
    </row>
    <row r="76" s="33" customFormat="true" ht="14.25" hidden="false" customHeight="false" outlineLevel="0" collapsed="false">
      <c r="A76" s="34" t="n">
        <f aca="false">A75+1</f>
        <v>71</v>
      </c>
      <c r="B76" s="35" t="s">
        <v>17</v>
      </c>
      <c r="C76" s="36" t="str">
        <f aca="false">"0040259"</f>
        <v>0040259</v>
      </c>
      <c r="D76" s="37" t="s">
        <v>84</v>
      </c>
      <c r="E76" s="35" t="n">
        <v>2009</v>
      </c>
      <c r="F76" s="38" t="n">
        <v>2343</v>
      </c>
      <c r="G76" s="39" t="n">
        <v>1</v>
      </c>
      <c r="H76" s="40" t="n">
        <v>260</v>
      </c>
    </row>
    <row r="77" s="33" customFormat="true" ht="14.25" hidden="false" customHeight="false" outlineLevel="0" collapsed="false">
      <c r="A77" s="34" t="n">
        <f aca="false">A76+1</f>
        <v>72</v>
      </c>
      <c r="B77" s="35" t="s">
        <v>17</v>
      </c>
      <c r="C77" s="36" t="str">
        <f aca="false">"0040698"</f>
        <v>0040698</v>
      </c>
      <c r="D77" s="37" t="s">
        <v>85</v>
      </c>
      <c r="E77" s="35" t="n">
        <v>2010</v>
      </c>
      <c r="F77" s="38" t="n">
        <v>1173.99</v>
      </c>
      <c r="G77" s="39" t="n">
        <v>1</v>
      </c>
      <c r="H77" s="40" t="n">
        <v>120</v>
      </c>
    </row>
    <row r="78" s="33" customFormat="true" ht="14.25" hidden="false" customHeight="false" outlineLevel="0" collapsed="false">
      <c r="A78" s="34" t="n">
        <f aca="false">A77+1</f>
        <v>73</v>
      </c>
      <c r="B78" s="35" t="s">
        <v>17</v>
      </c>
      <c r="C78" s="36" t="str">
        <f aca="false">"0040763"</f>
        <v>0040763</v>
      </c>
      <c r="D78" s="37" t="s">
        <v>86</v>
      </c>
      <c r="E78" s="35" t="n">
        <v>2010</v>
      </c>
      <c r="F78" s="38" t="n">
        <v>568.29</v>
      </c>
      <c r="G78" s="39" t="n">
        <v>1</v>
      </c>
      <c r="H78" s="40" t="n">
        <v>60</v>
      </c>
    </row>
    <row r="79" s="33" customFormat="true" ht="14.25" hidden="false" customHeight="false" outlineLevel="0" collapsed="false">
      <c r="A79" s="34" t="n">
        <f aca="false">A78+1</f>
        <v>74</v>
      </c>
      <c r="B79" s="35" t="s">
        <v>17</v>
      </c>
      <c r="C79" s="36" t="str">
        <f aca="false">"0040838"</f>
        <v>0040838</v>
      </c>
      <c r="D79" s="37" t="s">
        <v>87</v>
      </c>
      <c r="E79" s="35" t="n">
        <v>2010</v>
      </c>
      <c r="F79" s="38" t="n">
        <v>5737</v>
      </c>
      <c r="G79" s="39" t="n">
        <v>1</v>
      </c>
      <c r="H79" s="40" t="n">
        <v>420</v>
      </c>
    </row>
    <row r="80" s="33" customFormat="true" ht="14.25" hidden="false" customHeight="false" outlineLevel="0" collapsed="false">
      <c r="A80" s="34" t="n">
        <f aca="false">A79+1</f>
        <v>75</v>
      </c>
      <c r="B80" s="35" t="s">
        <v>17</v>
      </c>
      <c r="C80" s="36" t="str">
        <f aca="false">"0040841"</f>
        <v>0040841</v>
      </c>
      <c r="D80" s="37" t="s">
        <v>88</v>
      </c>
      <c r="E80" s="35" t="n">
        <v>2010</v>
      </c>
      <c r="F80" s="38" t="n">
        <v>1088.1</v>
      </c>
      <c r="G80" s="39" t="n">
        <v>1</v>
      </c>
      <c r="H80" s="40" t="n">
        <v>80</v>
      </c>
    </row>
    <row r="81" s="33" customFormat="true" ht="14.25" hidden="false" customHeight="false" outlineLevel="0" collapsed="false">
      <c r="A81" s="34" t="n">
        <f aca="false">A80+1</f>
        <v>76</v>
      </c>
      <c r="B81" s="35" t="s">
        <v>17</v>
      </c>
      <c r="C81" s="36" t="str">
        <f aca="false">"0040961"</f>
        <v>0040961</v>
      </c>
      <c r="D81" s="37" t="s">
        <v>89</v>
      </c>
      <c r="E81" s="35" t="n">
        <v>2010</v>
      </c>
      <c r="F81" s="38" t="n">
        <v>545.15</v>
      </c>
      <c r="G81" s="39" t="n">
        <v>1</v>
      </c>
      <c r="H81" s="40" t="n">
        <v>40</v>
      </c>
    </row>
    <row r="82" s="33" customFormat="true" ht="14.25" hidden="false" customHeight="false" outlineLevel="0" collapsed="false">
      <c r="A82" s="34" t="n">
        <f aca="false">A81+1</f>
        <v>77</v>
      </c>
      <c r="B82" s="35" t="s">
        <v>17</v>
      </c>
      <c r="C82" s="36" t="str">
        <f aca="false">"0041026"</f>
        <v>0041026</v>
      </c>
      <c r="D82" s="37" t="s">
        <v>90</v>
      </c>
      <c r="E82" s="35" t="n">
        <v>2010</v>
      </c>
      <c r="F82" s="38" t="n">
        <v>8280.85</v>
      </c>
      <c r="G82" s="39" t="n">
        <v>1</v>
      </c>
      <c r="H82" s="40" t="n">
        <v>850</v>
      </c>
    </row>
    <row r="83" s="33" customFormat="true" ht="14.25" hidden="false" customHeight="false" outlineLevel="0" collapsed="false">
      <c r="A83" s="34" t="n">
        <f aca="false">A82+1</f>
        <v>78</v>
      </c>
      <c r="B83" s="35" t="s">
        <v>17</v>
      </c>
      <c r="C83" s="36" t="str">
        <f aca="false">"0041155"</f>
        <v>0041155</v>
      </c>
      <c r="D83" s="37" t="s">
        <v>91</v>
      </c>
      <c r="E83" s="35" t="n">
        <v>2011</v>
      </c>
      <c r="F83" s="38" t="n">
        <v>3530.8</v>
      </c>
      <c r="G83" s="39" t="n">
        <v>1</v>
      </c>
      <c r="H83" s="40" t="n">
        <v>300</v>
      </c>
    </row>
    <row r="84" s="33" customFormat="true" ht="14.25" hidden="false" customHeight="false" outlineLevel="0" collapsed="false">
      <c r="A84" s="34" t="n">
        <f aca="false">A83+1</f>
        <v>79</v>
      </c>
      <c r="B84" s="35" t="s">
        <v>17</v>
      </c>
      <c r="C84" s="36" t="str">
        <f aca="false">"0041157"</f>
        <v>0041157</v>
      </c>
      <c r="D84" s="37" t="s">
        <v>92</v>
      </c>
      <c r="E84" s="35" t="n">
        <v>2011</v>
      </c>
      <c r="F84" s="38" t="n">
        <v>578.55</v>
      </c>
      <c r="G84" s="39" t="n">
        <v>1</v>
      </c>
      <c r="H84" s="40" t="n">
        <v>50</v>
      </c>
    </row>
    <row r="85" s="33" customFormat="true" ht="14.25" hidden="false" customHeight="false" outlineLevel="0" collapsed="false">
      <c r="A85" s="34" t="n">
        <f aca="false">A84+1</f>
        <v>80</v>
      </c>
      <c r="B85" s="35" t="s">
        <v>17</v>
      </c>
      <c r="C85" s="36" t="str">
        <f aca="false">"0041554"</f>
        <v>0041554</v>
      </c>
      <c r="D85" s="37" t="s">
        <v>93</v>
      </c>
      <c r="E85" s="35" t="n">
        <v>2011</v>
      </c>
      <c r="F85" s="38" t="n">
        <v>2600.81</v>
      </c>
      <c r="G85" s="39" t="n">
        <v>1</v>
      </c>
      <c r="H85" s="40" t="n">
        <v>400</v>
      </c>
    </row>
    <row r="86" s="33" customFormat="true" ht="14.25" hidden="false" customHeight="false" outlineLevel="0" collapsed="false">
      <c r="A86" s="34" t="n">
        <f aca="false">A85+1</f>
        <v>81</v>
      </c>
      <c r="B86" s="35" t="s">
        <v>17</v>
      </c>
      <c r="C86" s="36" t="str">
        <f aca="false">"0041555"</f>
        <v>0041555</v>
      </c>
      <c r="D86" s="37" t="s">
        <v>94</v>
      </c>
      <c r="E86" s="35" t="n">
        <v>2011</v>
      </c>
      <c r="F86" s="38" t="n">
        <v>804.19</v>
      </c>
      <c r="G86" s="39" t="n">
        <v>4</v>
      </c>
      <c r="H86" s="40" t="n">
        <v>360</v>
      </c>
    </row>
    <row r="87" s="33" customFormat="true" ht="14.25" hidden="false" customHeight="false" outlineLevel="0" collapsed="false">
      <c r="A87" s="34" t="n">
        <f aca="false">A86+1</f>
        <v>82</v>
      </c>
      <c r="B87" s="35" t="s">
        <v>17</v>
      </c>
      <c r="C87" s="36" t="str">
        <f aca="false">"0041623"</f>
        <v>0041623</v>
      </c>
      <c r="D87" s="37" t="s">
        <v>95</v>
      </c>
      <c r="E87" s="35" t="n">
        <v>2011</v>
      </c>
      <c r="F87" s="38" t="n">
        <v>11845.28</v>
      </c>
      <c r="G87" s="39" t="n">
        <v>1</v>
      </c>
      <c r="H87" s="40" t="n">
        <v>1000</v>
      </c>
    </row>
    <row r="88" s="33" customFormat="true" ht="14.25" hidden="false" customHeight="false" outlineLevel="0" collapsed="false">
      <c r="A88" s="34" t="n">
        <f aca="false">A87+1</f>
        <v>83</v>
      </c>
      <c r="B88" s="35" t="s">
        <v>17</v>
      </c>
      <c r="C88" s="36" t="str">
        <f aca="false">"0041701"</f>
        <v>0041701</v>
      </c>
      <c r="D88" s="37" t="s">
        <v>96</v>
      </c>
      <c r="E88" s="35" t="n">
        <v>2011</v>
      </c>
      <c r="F88" s="38" t="n">
        <v>774.25</v>
      </c>
      <c r="G88" s="39" t="n">
        <v>3</v>
      </c>
      <c r="H88" s="40" t="n">
        <v>270</v>
      </c>
    </row>
    <row r="89" s="33" customFormat="true" ht="14.25" hidden="false" customHeight="false" outlineLevel="0" collapsed="false">
      <c r="A89" s="34" t="n">
        <f aca="false">A88+1</f>
        <v>84</v>
      </c>
      <c r="B89" s="35" t="s">
        <v>17</v>
      </c>
      <c r="C89" s="36" t="str">
        <f aca="false">"0041786"</f>
        <v>0041786</v>
      </c>
      <c r="D89" s="37" t="s">
        <v>97</v>
      </c>
      <c r="E89" s="35" t="n">
        <v>2012</v>
      </c>
      <c r="F89" s="38" t="n">
        <v>1805.69</v>
      </c>
      <c r="G89" s="39" t="n">
        <v>1</v>
      </c>
      <c r="H89" s="40" t="n">
        <v>170</v>
      </c>
    </row>
    <row r="90" s="33" customFormat="true" ht="14.25" hidden="false" customHeight="false" outlineLevel="0" collapsed="false">
      <c r="A90" s="34" t="n">
        <f aca="false">A89+1</f>
        <v>85</v>
      </c>
      <c r="B90" s="35" t="s">
        <v>17</v>
      </c>
      <c r="C90" s="36" t="str">
        <f aca="false">"0042701"</f>
        <v>0042701</v>
      </c>
      <c r="D90" s="37" t="s">
        <v>98</v>
      </c>
      <c r="E90" s="35" t="n">
        <v>2012</v>
      </c>
      <c r="F90" s="38" t="n">
        <v>410</v>
      </c>
      <c r="G90" s="39" t="n">
        <v>3</v>
      </c>
      <c r="H90" s="40" t="n">
        <v>120</v>
      </c>
    </row>
    <row r="91" s="33" customFormat="true" ht="14.25" hidden="false" customHeight="false" outlineLevel="0" collapsed="false">
      <c r="A91" s="34" t="n">
        <f aca="false">A90+1</f>
        <v>86</v>
      </c>
      <c r="B91" s="35" t="s">
        <v>17</v>
      </c>
      <c r="C91" s="36" t="str">
        <f aca="false">"0043644"</f>
        <v>0043644</v>
      </c>
      <c r="D91" s="37" t="s">
        <v>99</v>
      </c>
      <c r="E91" s="35" t="n">
        <v>2013</v>
      </c>
      <c r="F91" s="38" t="n">
        <v>944.31</v>
      </c>
      <c r="G91" s="39" t="n">
        <v>1</v>
      </c>
      <c r="H91" s="40" t="n">
        <v>100</v>
      </c>
    </row>
    <row r="92" s="33" customFormat="true" ht="14.25" hidden="false" customHeight="false" outlineLevel="0" collapsed="false">
      <c r="A92" s="34" t="n">
        <f aca="false">A91+1</f>
        <v>87</v>
      </c>
      <c r="B92" s="35" t="s">
        <v>17</v>
      </c>
      <c r="C92" s="36" t="str">
        <f aca="false">"0043654"</f>
        <v>0043654</v>
      </c>
      <c r="D92" s="37" t="s">
        <v>100</v>
      </c>
      <c r="E92" s="35" t="n">
        <v>2013</v>
      </c>
      <c r="F92" s="38" t="n">
        <v>5616.3</v>
      </c>
      <c r="G92" s="39" t="n">
        <v>1</v>
      </c>
      <c r="H92" s="40" t="n">
        <v>580</v>
      </c>
    </row>
    <row r="93" s="33" customFormat="true" ht="14.25" hidden="false" customHeight="false" outlineLevel="0" collapsed="false">
      <c r="A93" s="34" t="n">
        <f aca="false">A92+1</f>
        <v>88</v>
      </c>
      <c r="B93" s="35" t="s">
        <v>17</v>
      </c>
      <c r="C93" s="36" t="str">
        <f aca="false">"0043655"</f>
        <v>0043655</v>
      </c>
      <c r="D93" s="37" t="s">
        <v>101</v>
      </c>
      <c r="E93" s="35" t="n">
        <v>2013</v>
      </c>
      <c r="F93" s="38" t="n">
        <v>847.85</v>
      </c>
      <c r="G93" s="39" t="n">
        <v>1</v>
      </c>
      <c r="H93" s="40" t="n">
        <v>190</v>
      </c>
    </row>
    <row r="94" s="33" customFormat="true" ht="14.25" hidden="false" customHeight="false" outlineLevel="0" collapsed="false">
      <c r="A94" s="34" t="n">
        <f aca="false">A93+1</f>
        <v>89</v>
      </c>
      <c r="B94" s="35" t="s">
        <v>17</v>
      </c>
      <c r="C94" s="36" t="str">
        <f aca="false">"0044486"</f>
        <v>0044486</v>
      </c>
      <c r="D94" s="37" t="s">
        <v>102</v>
      </c>
      <c r="E94" s="35" t="n">
        <v>2015</v>
      </c>
      <c r="F94" s="38" t="n">
        <v>1014</v>
      </c>
      <c r="G94" s="39" t="n">
        <v>1</v>
      </c>
      <c r="H94" s="40" t="n">
        <v>300</v>
      </c>
    </row>
    <row r="95" s="33" customFormat="true" ht="14.25" hidden="false" customHeight="false" outlineLevel="0" collapsed="false">
      <c r="A95" s="34" t="n">
        <f aca="false">A94+1</f>
        <v>90</v>
      </c>
      <c r="B95" s="35" t="s">
        <v>17</v>
      </c>
      <c r="C95" s="36" t="str">
        <f aca="false">"0044619"</f>
        <v>0044619</v>
      </c>
      <c r="D95" s="37" t="s">
        <v>103</v>
      </c>
      <c r="E95" s="35" t="n">
        <v>2015</v>
      </c>
      <c r="F95" s="38" t="n">
        <v>1012</v>
      </c>
      <c r="G95" s="39" t="n">
        <v>1</v>
      </c>
      <c r="H95" s="40" t="n">
        <v>300</v>
      </c>
    </row>
    <row r="96" s="33" customFormat="true" ht="14.25" hidden="false" customHeight="false" outlineLevel="0" collapsed="false">
      <c r="A96" s="34" t="n">
        <f aca="false">A95+1</f>
        <v>91</v>
      </c>
      <c r="B96" s="35" t="s">
        <v>17</v>
      </c>
      <c r="C96" s="36" t="str">
        <f aca="false">"0045109"</f>
        <v>0045109</v>
      </c>
      <c r="D96" s="37" t="s">
        <v>104</v>
      </c>
      <c r="E96" s="35" t="n">
        <v>2016</v>
      </c>
      <c r="F96" s="38" t="n">
        <v>989.6</v>
      </c>
      <c r="G96" s="39" t="n">
        <v>2</v>
      </c>
      <c r="H96" s="40" t="n">
        <v>720</v>
      </c>
    </row>
    <row r="97" s="33" customFormat="true" ht="14.25" hidden="false" customHeight="false" outlineLevel="0" collapsed="false">
      <c r="A97" s="34" t="n">
        <f aca="false">A96+1</f>
        <v>92</v>
      </c>
      <c r="B97" s="35" t="s">
        <v>17</v>
      </c>
      <c r="C97" s="36" t="str">
        <f aca="false">"0045759"</f>
        <v>0045759</v>
      </c>
      <c r="D97" s="37" t="s">
        <v>105</v>
      </c>
      <c r="E97" s="35" t="n">
        <v>2016</v>
      </c>
      <c r="F97" s="38" t="n">
        <v>8077.6</v>
      </c>
      <c r="G97" s="39" t="n">
        <v>1</v>
      </c>
      <c r="H97" s="40" t="n">
        <v>3000</v>
      </c>
    </row>
    <row r="98" s="33" customFormat="true" ht="14.25" hidden="false" customHeight="false" outlineLevel="0" collapsed="false">
      <c r="A98" s="34" t="n">
        <f aca="false">A97+1</f>
        <v>93</v>
      </c>
      <c r="B98" s="35" t="s">
        <v>17</v>
      </c>
      <c r="C98" s="36" t="str">
        <f aca="false">"0046657"</f>
        <v>0046657</v>
      </c>
      <c r="D98" s="37" t="s">
        <v>106</v>
      </c>
      <c r="E98" s="35" t="n">
        <v>2016</v>
      </c>
      <c r="F98" s="38" t="n">
        <v>1875</v>
      </c>
      <c r="G98" s="39" t="n">
        <v>1</v>
      </c>
      <c r="H98" s="40" t="n">
        <v>700</v>
      </c>
    </row>
    <row r="99" s="33" customFormat="true" ht="14.25" hidden="false" customHeight="false" outlineLevel="0" collapsed="false">
      <c r="A99" s="34" t="n">
        <f aca="false">A98+1</f>
        <v>94</v>
      </c>
      <c r="B99" s="35" t="s">
        <v>107</v>
      </c>
      <c r="C99" s="36" t="str">
        <f aca="false">"0009335"</f>
        <v>0009335</v>
      </c>
      <c r="D99" s="37" t="s">
        <v>108</v>
      </c>
      <c r="E99" s="35" t="n">
        <v>1996</v>
      </c>
      <c r="F99" s="38" t="n">
        <v>5540</v>
      </c>
      <c r="G99" s="39" t="n">
        <v>1</v>
      </c>
      <c r="H99" s="40" t="n">
        <v>300</v>
      </c>
    </row>
    <row r="100" s="33" customFormat="true" ht="14.25" hidden="false" customHeight="false" outlineLevel="0" collapsed="false">
      <c r="A100" s="34" t="n">
        <f aca="false">A99+1</f>
        <v>95</v>
      </c>
      <c r="B100" s="35" t="s">
        <v>107</v>
      </c>
      <c r="C100" s="36" t="str">
        <f aca="false">"0014568"</f>
        <v>0014568</v>
      </c>
      <c r="D100" s="37" t="s">
        <v>109</v>
      </c>
      <c r="E100" s="35" t="n">
        <v>2004</v>
      </c>
      <c r="F100" s="38" t="n">
        <v>15073</v>
      </c>
      <c r="G100" s="39" t="n">
        <v>1</v>
      </c>
      <c r="H100" s="40" t="n">
        <v>900</v>
      </c>
    </row>
    <row r="101" s="33" customFormat="true" ht="14.25" hidden="false" customHeight="false" outlineLevel="0" collapsed="false">
      <c r="A101" s="34" t="n">
        <f aca="false">A100+1</f>
        <v>96</v>
      </c>
      <c r="B101" s="35" t="s">
        <v>107</v>
      </c>
      <c r="C101" s="36" t="str">
        <f aca="false">"0015074"</f>
        <v>0015074</v>
      </c>
      <c r="D101" s="37" t="s">
        <v>33</v>
      </c>
      <c r="E101" s="35" t="n">
        <v>2005</v>
      </c>
      <c r="F101" s="38" t="n">
        <v>1091</v>
      </c>
      <c r="G101" s="39" t="n">
        <v>1</v>
      </c>
      <c r="H101" s="40" t="n">
        <v>70</v>
      </c>
    </row>
    <row r="102" s="33" customFormat="true" ht="14.25" hidden="false" customHeight="false" outlineLevel="0" collapsed="false">
      <c r="A102" s="34" t="n">
        <f aca="false">A101+1</f>
        <v>97</v>
      </c>
      <c r="B102" s="35" t="s">
        <v>107</v>
      </c>
      <c r="C102" s="36" t="str">
        <f aca="false">"0015119"</f>
        <v>0015119</v>
      </c>
      <c r="D102" s="37" t="s">
        <v>110</v>
      </c>
      <c r="E102" s="35" t="n">
        <v>2005</v>
      </c>
      <c r="F102" s="38" t="n">
        <v>985</v>
      </c>
      <c r="G102" s="39" t="n">
        <v>1</v>
      </c>
      <c r="H102" s="40" t="n">
        <v>60</v>
      </c>
    </row>
    <row r="103" s="33" customFormat="true" ht="14.25" hidden="false" customHeight="false" outlineLevel="0" collapsed="false">
      <c r="A103" s="34" t="n">
        <f aca="false">A102+1</f>
        <v>98</v>
      </c>
      <c r="B103" s="35" t="s">
        <v>107</v>
      </c>
      <c r="C103" s="36" t="str">
        <f aca="false">"0015151"</f>
        <v>0015151</v>
      </c>
      <c r="D103" s="37" t="s">
        <v>111</v>
      </c>
      <c r="E103" s="35" t="n">
        <v>2005</v>
      </c>
      <c r="F103" s="38" t="n">
        <v>9605</v>
      </c>
      <c r="G103" s="39" t="n">
        <v>1</v>
      </c>
      <c r="H103" s="40" t="n">
        <v>580</v>
      </c>
    </row>
    <row r="104" s="33" customFormat="true" ht="14.25" hidden="false" customHeight="false" outlineLevel="0" collapsed="false">
      <c r="A104" s="34" t="n">
        <f aca="false">A103+1</f>
        <v>99</v>
      </c>
      <c r="B104" s="35" t="s">
        <v>107</v>
      </c>
      <c r="C104" s="43" t="str">
        <f aca="false">"0017586"</f>
        <v>0017586</v>
      </c>
      <c r="D104" s="37" t="s">
        <v>42</v>
      </c>
      <c r="E104" s="35" t="n">
        <v>1987</v>
      </c>
      <c r="F104" s="38" t="n">
        <v>264.55</v>
      </c>
      <c r="G104" s="39" t="n">
        <v>1</v>
      </c>
      <c r="H104" s="40" t="n">
        <v>15</v>
      </c>
    </row>
    <row r="105" s="33" customFormat="true" ht="14.25" hidden="false" customHeight="false" outlineLevel="0" collapsed="false">
      <c r="A105" s="34" t="n">
        <f aca="false">A104+1</f>
        <v>100</v>
      </c>
      <c r="B105" s="35" t="s">
        <v>107</v>
      </c>
      <c r="C105" s="43" t="str">
        <f aca="false">"0020382"</f>
        <v>0020382</v>
      </c>
      <c r="D105" s="37" t="s">
        <v>112</v>
      </c>
      <c r="E105" s="35" t="n">
        <v>1979</v>
      </c>
      <c r="F105" s="38" t="n">
        <v>50.66</v>
      </c>
      <c r="G105" s="39" t="n">
        <v>1</v>
      </c>
      <c r="H105" s="40" t="n">
        <v>5</v>
      </c>
    </row>
    <row r="106" s="33" customFormat="true" ht="14.25" hidden="false" customHeight="false" outlineLevel="0" collapsed="false">
      <c r="A106" s="34" t="n">
        <f aca="false">A105+1</f>
        <v>101</v>
      </c>
      <c r="B106" s="35" t="s">
        <v>107</v>
      </c>
      <c r="C106" s="43" t="str">
        <f aca="false">"0020431"</f>
        <v>0020431</v>
      </c>
      <c r="D106" s="37" t="s">
        <v>42</v>
      </c>
      <c r="E106" s="35" t="n">
        <v>1979</v>
      </c>
      <c r="F106" s="38" t="n">
        <v>191.38</v>
      </c>
      <c r="G106" s="39" t="n">
        <v>1</v>
      </c>
      <c r="H106" s="40" t="n">
        <v>10</v>
      </c>
    </row>
    <row r="107" s="33" customFormat="true" ht="14.25" hidden="false" customHeight="false" outlineLevel="0" collapsed="false">
      <c r="A107" s="34" t="n">
        <f aca="false">A106+1</f>
        <v>102</v>
      </c>
      <c r="B107" s="35" t="s">
        <v>107</v>
      </c>
      <c r="C107" s="43" t="str">
        <f aca="false">"0020440"</f>
        <v>0020440</v>
      </c>
      <c r="D107" s="37" t="s">
        <v>42</v>
      </c>
      <c r="E107" s="35" t="n">
        <v>1979</v>
      </c>
      <c r="F107" s="38" t="n">
        <v>174.49</v>
      </c>
      <c r="G107" s="39" t="n">
        <v>1</v>
      </c>
      <c r="H107" s="40" t="n">
        <v>10</v>
      </c>
    </row>
    <row r="108" s="33" customFormat="true" ht="14.25" hidden="false" customHeight="false" outlineLevel="0" collapsed="false">
      <c r="A108" s="34" t="n">
        <f aca="false">A107+1</f>
        <v>103</v>
      </c>
      <c r="B108" s="35" t="s">
        <v>107</v>
      </c>
      <c r="C108" s="43" t="str">
        <f aca="false">"0020447"</f>
        <v>0020447</v>
      </c>
      <c r="D108" s="37" t="s">
        <v>113</v>
      </c>
      <c r="E108" s="35" t="n">
        <v>1979</v>
      </c>
      <c r="F108" s="38" t="n">
        <v>174.49</v>
      </c>
      <c r="G108" s="39" t="n">
        <v>1</v>
      </c>
      <c r="H108" s="40" t="n">
        <v>5</v>
      </c>
    </row>
    <row r="109" s="33" customFormat="true" ht="14.25" hidden="false" customHeight="false" outlineLevel="0" collapsed="false">
      <c r="A109" s="34" t="n">
        <f aca="false">A108+1</f>
        <v>104</v>
      </c>
      <c r="B109" s="35" t="s">
        <v>107</v>
      </c>
      <c r="C109" s="35" t="str">
        <f aca="false">"0020493"</f>
        <v>0020493</v>
      </c>
      <c r="D109" s="37" t="s">
        <v>42</v>
      </c>
      <c r="E109" s="35" t="n">
        <v>1979</v>
      </c>
      <c r="F109" s="38" t="n">
        <v>3968.23</v>
      </c>
      <c r="G109" s="39" t="n">
        <v>3</v>
      </c>
      <c r="H109" s="40" t="n">
        <v>480</v>
      </c>
    </row>
    <row r="110" s="33" customFormat="true" ht="14.25" hidden="false" customHeight="false" outlineLevel="0" collapsed="false">
      <c r="A110" s="34" t="n">
        <f aca="false">A109+1</f>
        <v>105</v>
      </c>
      <c r="B110" s="35" t="s">
        <v>107</v>
      </c>
      <c r="C110" s="35" t="str">
        <f aca="false">"0023599"</f>
        <v>0023599</v>
      </c>
      <c r="D110" s="37" t="s">
        <v>114</v>
      </c>
      <c r="E110" s="35" t="n">
        <v>1982</v>
      </c>
      <c r="F110" s="38" t="n">
        <v>2645.49</v>
      </c>
      <c r="G110" s="39" t="n">
        <v>1</v>
      </c>
      <c r="H110" s="40" t="n">
        <v>110</v>
      </c>
    </row>
    <row r="111" s="33" customFormat="true" ht="14.25" hidden="false" customHeight="false" outlineLevel="0" collapsed="false">
      <c r="A111" s="34" t="n">
        <f aca="false">A110+1</f>
        <v>106</v>
      </c>
      <c r="B111" s="35" t="s">
        <v>107</v>
      </c>
      <c r="C111" s="35" t="str">
        <f aca="false">"0024120"</f>
        <v>0024120</v>
      </c>
      <c r="D111" s="37" t="s">
        <v>115</v>
      </c>
      <c r="E111" s="35" t="n">
        <v>1983</v>
      </c>
      <c r="F111" s="38" t="n">
        <v>197</v>
      </c>
      <c r="G111" s="39" t="n">
        <v>1</v>
      </c>
      <c r="H111" s="40" t="n">
        <v>10</v>
      </c>
    </row>
    <row r="112" s="33" customFormat="true" ht="14.25" hidden="false" customHeight="false" outlineLevel="0" collapsed="false">
      <c r="A112" s="34" t="n">
        <f aca="false">A111+1</f>
        <v>107</v>
      </c>
      <c r="B112" s="35" t="s">
        <v>107</v>
      </c>
      <c r="C112" s="35" t="str">
        <f aca="false">"0024454"</f>
        <v>0024454</v>
      </c>
      <c r="D112" s="37" t="s">
        <v>116</v>
      </c>
      <c r="E112" s="35" t="n">
        <v>1984</v>
      </c>
      <c r="F112" s="38" t="n">
        <v>3168.96</v>
      </c>
      <c r="G112" s="39" t="n">
        <v>1</v>
      </c>
      <c r="H112" s="40" t="n">
        <v>140</v>
      </c>
    </row>
    <row r="113" s="33" customFormat="true" ht="14.25" hidden="false" customHeight="false" outlineLevel="0" collapsed="false">
      <c r="A113" s="34" t="n">
        <f aca="false">A112+1</f>
        <v>108</v>
      </c>
      <c r="B113" s="35" t="s">
        <v>107</v>
      </c>
      <c r="C113" s="35" t="str">
        <f aca="false">"0026789"</f>
        <v>0026789</v>
      </c>
      <c r="D113" s="37" t="s">
        <v>114</v>
      </c>
      <c r="E113" s="35" t="n">
        <v>1986</v>
      </c>
      <c r="F113" s="38" t="n">
        <v>1975.67</v>
      </c>
      <c r="G113" s="39" t="n">
        <v>2</v>
      </c>
      <c r="H113" s="40" t="n">
        <v>180</v>
      </c>
    </row>
    <row r="114" s="33" customFormat="true" ht="14.25" hidden="false" customHeight="false" outlineLevel="0" collapsed="false">
      <c r="A114" s="34" t="n">
        <f aca="false">A113+1</f>
        <v>109</v>
      </c>
      <c r="B114" s="35" t="s">
        <v>107</v>
      </c>
      <c r="C114" s="35" t="str">
        <f aca="false">"0029900"</f>
        <v>0029900</v>
      </c>
      <c r="D114" s="37" t="s">
        <v>114</v>
      </c>
      <c r="E114" s="35" t="n">
        <v>1989</v>
      </c>
      <c r="F114" s="38" t="n">
        <v>5594.93</v>
      </c>
      <c r="G114" s="39" t="n">
        <v>1</v>
      </c>
      <c r="H114" s="40" t="n">
        <v>280</v>
      </c>
    </row>
    <row r="115" s="33" customFormat="true" ht="14.25" hidden="false" customHeight="false" outlineLevel="0" collapsed="false">
      <c r="A115" s="34" t="n">
        <f aca="false">A114+1</f>
        <v>110</v>
      </c>
      <c r="B115" s="35" t="s">
        <v>107</v>
      </c>
      <c r="C115" s="35" t="str">
        <f aca="false">"0029927"</f>
        <v>0029927</v>
      </c>
      <c r="D115" s="37" t="s">
        <v>42</v>
      </c>
      <c r="E115" s="35" t="n">
        <v>1989</v>
      </c>
      <c r="F115" s="38" t="n">
        <v>2257.11</v>
      </c>
      <c r="G115" s="39" t="n">
        <v>1</v>
      </c>
      <c r="H115" s="40" t="n">
        <v>110</v>
      </c>
    </row>
    <row r="116" s="33" customFormat="true" ht="14.25" hidden="false" customHeight="false" outlineLevel="0" collapsed="false">
      <c r="A116" s="34" t="n">
        <f aca="false">A115+1</f>
        <v>111</v>
      </c>
      <c r="B116" s="35" t="s">
        <v>107</v>
      </c>
      <c r="C116" s="35" t="str">
        <f aca="false">"0033195"</f>
        <v>0033195</v>
      </c>
      <c r="D116" s="37" t="s">
        <v>117</v>
      </c>
      <c r="E116" s="35" t="n">
        <v>2003</v>
      </c>
      <c r="F116" s="38" t="n">
        <v>2721.18</v>
      </c>
      <c r="G116" s="39" t="n">
        <v>1</v>
      </c>
      <c r="H116" s="40" t="n">
        <v>170</v>
      </c>
    </row>
    <row r="117" s="33" customFormat="true" ht="14.25" hidden="false" customHeight="false" outlineLevel="0" collapsed="false">
      <c r="A117" s="34" t="n">
        <f aca="false">A116+1</f>
        <v>112</v>
      </c>
      <c r="B117" s="35" t="s">
        <v>107</v>
      </c>
      <c r="C117" s="35" t="str">
        <f aca="false">"0033312"</f>
        <v>0033312</v>
      </c>
      <c r="D117" s="37" t="s">
        <v>118</v>
      </c>
      <c r="E117" s="35" t="n">
        <v>2003</v>
      </c>
      <c r="F117" s="38" t="n">
        <v>473.97</v>
      </c>
      <c r="G117" s="39" t="n">
        <v>1</v>
      </c>
      <c r="H117" s="40" t="n">
        <v>30</v>
      </c>
    </row>
    <row r="118" s="33" customFormat="true" ht="14.25" hidden="false" customHeight="false" outlineLevel="0" collapsed="false">
      <c r="A118" s="34" t="n">
        <f aca="false">A117+1</f>
        <v>113</v>
      </c>
      <c r="B118" s="35" t="s">
        <v>107</v>
      </c>
      <c r="C118" s="35" t="str">
        <f aca="false">"0033346"</f>
        <v>0033346</v>
      </c>
      <c r="D118" s="37" t="s">
        <v>119</v>
      </c>
      <c r="E118" s="35" t="n">
        <v>2003</v>
      </c>
      <c r="F118" s="38" t="n">
        <v>666</v>
      </c>
      <c r="G118" s="39" t="n">
        <v>1</v>
      </c>
      <c r="H118" s="40" t="n">
        <v>40</v>
      </c>
    </row>
    <row r="119" s="33" customFormat="true" ht="14.25" hidden="false" customHeight="false" outlineLevel="0" collapsed="false">
      <c r="A119" s="34" t="n">
        <f aca="false">A118+1</f>
        <v>114</v>
      </c>
      <c r="B119" s="35" t="s">
        <v>107</v>
      </c>
      <c r="C119" s="35" t="str">
        <f aca="false">"0033347"</f>
        <v>0033347</v>
      </c>
      <c r="D119" s="37" t="s">
        <v>120</v>
      </c>
      <c r="E119" s="35" t="n">
        <v>2003</v>
      </c>
      <c r="F119" s="38" t="n">
        <v>940.98</v>
      </c>
      <c r="G119" s="39" t="n">
        <v>1</v>
      </c>
      <c r="H119" s="44" t="s">
        <v>121</v>
      </c>
    </row>
    <row r="120" s="33" customFormat="true" ht="14.25" hidden="false" customHeight="false" outlineLevel="0" collapsed="false">
      <c r="A120" s="34" t="n">
        <f aca="false">A119+1</f>
        <v>115</v>
      </c>
      <c r="B120" s="35" t="s">
        <v>107</v>
      </c>
      <c r="C120" s="35" t="str">
        <f aca="false">"0033383"</f>
        <v>0033383</v>
      </c>
      <c r="D120" s="37" t="s">
        <v>122</v>
      </c>
      <c r="E120" s="35" t="n">
        <v>2003</v>
      </c>
      <c r="F120" s="38" t="n">
        <v>1055</v>
      </c>
      <c r="G120" s="39" t="n">
        <v>2</v>
      </c>
      <c r="H120" s="40" t="n">
        <v>120</v>
      </c>
    </row>
    <row r="121" s="33" customFormat="true" ht="14.25" hidden="false" customHeight="false" outlineLevel="0" collapsed="false">
      <c r="A121" s="34" t="n">
        <f aca="false">A120+1</f>
        <v>116</v>
      </c>
      <c r="B121" s="35" t="s">
        <v>107</v>
      </c>
      <c r="C121" s="35" t="str">
        <f aca="false">"0033396"</f>
        <v>0033396</v>
      </c>
      <c r="D121" s="37" t="s">
        <v>123</v>
      </c>
      <c r="E121" s="35" t="n">
        <v>2004</v>
      </c>
      <c r="F121" s="38" t="n">
        <v>730</v>
      </c>
      <c r="G121" s="39" t="n">
        <v>3</v>
      </c>
      <c r="H121" s="40" t="n">
        <v>135</v>
      </c>
    </row>
    <row r="122" s="33" customFormat="true" ht="14.25" hidden="false" customHeight="false" outlineLevel="0" collapsed="false">
      <c r="A122" s="34" t="n">
        <f aca="false">A121+1</f>
        <v>117</v>
      </c>
      <c r="B122" s="35" t="s">
        <v>107</v>
      </c>
      <c r="C122" s="35" t="str">
        <f aca="false">"0034869"</f>
        <v>0034869</v>
      </c>
      <c r="D122" s="37" t="s">
        <v>124</v>
      </c>
      <c r="E122" s="35" t="n">
        <v>2006</v>
      </c>
      <c r="F122" s="38" t="n">
        <v>395</v>
      </c>
      <c r="G122" s="39" t="n">
        <v>1</v>
      </c>
      <c r="H122" s="40" t="n">
        <v>25</v>
      </c>
    </row>
    <row r="123" s="33" customFormat="true" ht="14.25" hidden="false" customHeight="false" outlineLevel="0" collapsed="false">
      <c r="A123" s="34" t="n">
        <f aca="false">A122+1</f>
        <v>118</v>
      </c>
      <c r="B123" s="35" t="s">
        <v>107</v>
      </c>
      <c r="C123" s="35" t="str">
        <f aca="false">"0034874"</f>
        <v>0034874</v>
      </c>
      <c r="D123" s="37" t="s">
        <v>125</v>
      </c>
      <c r="E123" s="35" t="n">
        <v>2006</v>
      </c>
      <c r="F123" s="38" t="n">
        <v>4380</v>
      </c>
      <c r="G123" s="39" t="n">
        <v>1</v>
      </c>
      <c r="H123" s="40" t="n">
        <v>270</v>
      </c>
    </row>
    <row r="124" s="33" customFormat="true" ht="14.25" hidden="false" customHeight="false" outlineLevel="0" collapsed="false">
      <c r="A124" s="34" t="n">
        <f aca="false">A123+1</f>
        <v>119</v>
      </c>
      <c r="B124" s="35" t="s">
        <v>107</v>
      </c>
      <c r="C124" s="35" t="str">
        <f aca="false">"0035574"</f>
        <v>0035574</v>
      </c>
      <c r="D124" s="37" t="s">
        <v>126</v>
      </c>
      <c r="E124" s="35" t="n">
        <v>2007</v>
      </c>
      <c r="F124" s="38" t="n">
        <v>725</v>
      </c>
      <c r="G124" s="39" t="n">
        <v>1</v>
      </c>
      <c r="H124" s="40" t="n">
        <v>45</v>
      </c>
    </row>
    <row r="125" s="33" customFormat="true" ht="14.25" hidden="false" customHeight="false" outlineLevel="0" collapsed="false">
      <c r="A125" s="34" t="n">
        <f aca="false">A124+1</f>
        <v>120</v>
      </c>
      <c r="B125" s="35" t="s">
        <v>107</v>
      </c>
      <c r="C125" s="35" t="str">
        <f aca="false">"0035799"</f>
        <v>0035799</v>
      </c>
      <c r="D125" s="37" t="s">
        <v>127</v>
      </c>
      <c r="E125" s="35" t="n">
        <v>2007</v>
      </c>
      <c r="F125" s="38" t="n">
        <v>460</v>
      </c>
      <c r="G125" s="39" t="n">
        <v>1</v>
      </c>
      <c r="H125" s="40" t="n">
        <v>30</v>
      </c>
    </row>
    <row r="126" s="33" customFormat="true" ht="14.25" hidden="false" customHeight="false" outlineLevel="0" collapsed="false">
      <c r="A126" s="34" t="n">
        <f aca="false">A125+1</f>
        <v>121</v>
      </c>
      <c r="B126" s="35" t="s">
        <v>107</v>
      </c>
      <c r="C126" s="35" t="str">
        <f aca="false">"0037529"</f>
        <v>0037529</v>
      </c>
      <c r="D126" s="37" t="s">
        <v>128</v>
      </c>
      <c r="E126" s="35" t="n">
        <v>2008</v>
      </c>
      <c r="F126" s="38" t="n">
        <v>2245.9</v>
      </c>
      <c r="G126" s="39" t="n">
        <v>1</v>
      </c>
      <c r="H126" s="40" t="n">
        <v>140</v>
      </c>
    </row>
    <row r="127" s="33" customFormat="true" ht="14.25" hidden="false" customHeight="false" outlineLevel="0" collapsed="false">
      <c r="A127" s="34" t="n">
        <f aca="false">A126+1</f>
        <v>122</v>
      </c>
      <c r="B127" s="35" t="s">
        <v>107</v>
      </c>
      <c r="C127" s="35" t="str">
        <f aca="false">"0037598"</f>
        <v>0037598</v>
      </c>
      <c r="D127" s="37" t="s">
        <v>129</v>
      </c>
      <c r="E127" s="35" t="n">
        <v>2008</v>
      </c>
      <c r="F127" s="38" t="n">
        <v>4733</v>
      </c>
      <c r="G127" s="39" t="n">
        <v>1</v>
      </c>
      <c r="H127" s="40" t="n">
        <v>500</v>
      </c>
    </row>
    <row r="128" s="33" customFormat="true" ht="14.25" hidden="false" customHeight="false" outlineLevel="0" collapsed="false">
      <c r="A128" s="34" t="n">
        <f aca="false">A127+1</f>
        <v>123</v>
      </c>
      <c r="B128" s="35" t="s">
        <v>107</v>
      </c>
      <c r="C128" s="35" t="str">
        <f aca="false">"0038410"</f>
        <v>0038410</v>
      </c>
      <c r="D128" s="37" t="s">
        <v>130</v>
      </c>
      <c r="E128" s="35" t="n">
        <v>2008</v>
      </c>
      <c r="F128" s="38" t="n">
        <v>6106.58</v>
      </c>
      <c r="G128" s="39" t="n">
        <v>1</v>
      </c>
      <c r="H128" s="40" t="n">
        <v>400</v>
      </c>
    </row>
    <row r="129" s="33" customFormat="true" ht="14.25" hidden="false" customHeight="false" outlineLevel="0" collapsed="false">
      <c r="A129" s="34" t="n">
        <f aca="false">A128+1</f>
        <v>124</v>
      </c>
      <c r="B129" s="35" t="s">
        <v>107</v>
      </c>
      <c r="C129" s="35" t="str">
        <f aca="false">"0038423"</f>
        <v>0038423</v>
      </c>
      <c r="D129" s="37" t="s">
        <v>131</v>
      </c>
      <c r="E129" s="35" t="n">
        <v>2008</v>
      </c>
      <c r="F129" s="38" t="n">
        <v>541</v>
      </c>
      <c r="G129" s="39" t="n">
        <v>1</v>
      </c>
      <c r="H129" s="40" t="n">
        <v>30</v>
      </c>
    </row>
    <row r="130" s="33" customFormat="true" ht="14.25" hidden="false" customHeight="false" outlineLevel="0" collapsed="false">
      <c r="A130" s="34" t="n">
        <f aca="false">A129+1</f>
        <v>125</v>
      </c>
      <c r="B130" s="35" t="s">
        <v>107</v>
      </c>
      <c r="C130" s="35" t="str">
        <f aca="false">"0040836"</f>
        <v>0040836</v>
      </c>
      <c r="D130" s="37" t="s">
        <v>132</v>
      </c>
      <c r="E130" s="35" t="n">
        <v>2010</v>
      </c>
      <c r="F130" s="38" t="n">
        <v>2385</v>
      </c>
      <c r="G130" s="39" t="n">
        <v>2</v>
      </c>
      <c r="H130" s="40" t="n">
        <v>480</v>
      </c>
    </row>
    <row r="131" s="33" customFormat="true" ht="14.25" hidden="false" customHeight="false" outlineLevel="0" collapsed="false">
      <c r="A131" s="34" t="n">
        <f aca="false">A130+1</f>
        <v>126</v>
      </c>
      <c r="B131" s="35" t="s">
        <v>107</v>
      </c>
      <c r="C131" s="35" t="str">
        <f aca="false">"0040971"</f>
        <v>0040971</v>
      </c>
      <c r="D131" s="37" t="s">
        <v>89</v>
      </c>
      <c r="E131" s="35" t="n">
        <v>2010</v>
      </c>
      <c r="F131" s="38" t="n">
        <v>556.05</v>
      </c>
      <c r="G131" s="39" t="n">
        <v>1</v>
      </c>
      <c r="H131" s="40" t="n">
        <v>60</v>
      </c>
    </row>
    <row r="132" s="33" customFormat="true" ht="14.25" hidden="false" customHeight="false" outlineLevel="0" collapsed="false">
      <c r="A132" s="34" t="n">
        <f aca="false">A131+1</f>
        <v>127</v>
      </c>
      <c r="B132" s="35" t="s">
        <v>107</v>
      </c>
      <c r="C132" s="35" t="str">
        <f aca="false">"0040973"</f>
        <v>0040973</v>
      </c>
      <c r="D132" s="37" t="s">
        <v>133</v>
      </c>
      <c r="E132" s="35" t="n">
        <v>2010</v>
      </c>
      <c r="F132" s="38" t="n">
        <v>492.96</v>
      </c>
      <c r="G132" s="39" t="n">
        <v>1</v>
      </c>
      <c r="H132" s="40" t="n">
        <v>50</v>
      </c>
    </row>
    <row r="133" s="33" customFormat="true" ht="14.25" hidden="false" customHeight="false" outlineLevel="0" collapsed="false">
      <c r="A133" s="34" t="n">
        <f aca="false">A132+1</f>
        <v>128</v>
      </c>
      <c r="B133" s="35" t="s">
        <v>107</v>
      </c>
      <c r="C133" s="35" t="str">
        <f aca="false">"0044467"</f>
        <v>0044467</v>
      </c>
      <c r="D133" s="37" t="s">
        <v>134</v>
      </c>
      <c r="E133" s="35" t="n">
        <v>2015</v>
      </c>
      <c r="F133" s="38" t="n">
        <v>985</v>
      </c>
      <c r="G133" s="39" t="n">
        <v>1</v>
      </c>
      <c r="H133" s="40" t="n">
        <v>280</v>
      </c>
    </row>
    <row r="134" s="33" customFormat="true" ht="14.25" hidden="false" customHeight="false" outlineLevel="0" collapsed="false">
      <c r="A134" s="34" t="n">
        <f aca="false">A133+1</f>
        <v>129</v>
      </c>
      <c r="B134" s="35" t="s">
        <v>107</v>
      </c>
      <c r="C134" s="35" t="str">
        <f aca="false">"0044945"</f>
        <v>0044945</v>
      </c>
      <c r="D134" s="37" t="s">
        <v>135</v>
      </c>
      <c r="E134" s="35" t="n">
        <v>2015</v>
      </c>
      <c r="F134" s="38" t="n">
        <v>319.2</v>
      </c>
      <c r="G134" s="39" t="n">
        <v>1</v>
      </c>
      <c r="H134" s="40" t="n">
        <v>110</v>
      </c>
    </row>
    <row r="135" s="33" customFormat="true" ht="14.25" hidden="false" customHeight="false" outlineLevel="0" collapsed="false">
      <c r="A135" s="34" t="n">
        <f aca="false">A134+1</f>
        <v>130</v>
      </c>
      <c r="B135" s="35" t="s">
        <v>107</v>
      </c>
      <c r="C135" s="35" t="str">
        <f aca="false">"0044946"</f>
        <v>0044946</v>
      </c>
      <c r="D135" s="37" t="s">
        <v>136</v>
      </c>
      <c r="E135" s="35" t="n">
        <v>2015</v>
      </c>
      <c r="F135" s="38" t="n">
        <v>4050.36</v>
      </c>
      <c r="G135" s="39" t="n">
        <v>1</v>
      </c>
      <c r="H135" s="40" t="n">
        <v>1140</v>
      </c>
    </row>
    <row r="136" s="33" customFormat="true" ht="14.25" hidden="false" customHeight="false" outlineLevel="0" collapsed="false">
      <c r="A136" s="34" t="n">
        <f aca="false">A135+1</f>
        <v>131</v>
      </c>
      <c r="B136" s="35" t="s">
        <v>107</v>
      </c>
      <c r="C136" s="35" t="str">
        <f aca="false">"0090586"</f>
        <v>0090586</v>
      </c>
      <c r="D136" s="37" t="s">
        <v>137</v>
      </c>
      <c r="E136" s="35" t="n">
        <v>2005</v>
      </c>
      <c r="F136" s="38" t="n">
        <v>1339</v>
      </c>
      <c r="G136" s="39" t="n">
        <v>1</v>
      </c>
      <c r="H136" s="40" t="n">
        <v>85</v>
      </c>
    </row>
    <row r="137" s="33" customFormat="true" ht="14.25" hidden="false" customHeight="false" outlineLevel="0" collapsed="false">
      <c r="A137" s="34" t="n">
        <f aca="false">A136+1</f>
        <v>132</v>
      </c>
      <c r="B137" s="35" t="s">
        <v>138</v>
      </c>
      <c r="C137" s="35" t="str">
        <f aca="false">"0014926"</f>
        <v>0014926</v>
      </c>
      <c r="D137" s="37" t="s">
        <v>42</v>
      </c>
      <c r="E137" s="35" t="n">
        <v>1987</v>
      </c>
      <c r="F137" s="38" t="n">
        <v>275.81</v>
      </c>
      <c r="G137" s="39" t="n">
        <v>3</v>
      </c>
      <c r="H137" s="40" t="n">
        <v>45</v>
      </c>
    </row>
    <row r="138" s="33" customFormat="true" ht="14.25" hidden="false" customHeight="false" outlineLevel="0" collapsed="false">
      <c r="A138" s="34" t="n">
        <f aca="false">A137+1</f>
        <v>133</v>
      </c>
      <c r="B138" s="35" t="s">
        <v>138</v>
      </c>
      <c r="C138" s="35" t="str">
        <f aca="false">"0014932"</f>
        <v>0014932</v>
      </c>
      <c r="D138" s="37" t="s">
        <v>42</v>
      </c>
      <c r="E138" s="35" t="n">
        <v>1987</v>
      </c>
      <c r="F138" s="38" t="n">
        <v>202.63</v>
      </c>
      <c r="G138" s="39" t="n">
        <v>1</v>
      </c>
      <c r="H138" s="40" t="n">
        <v>10</v>
      </c>
    </row>
    <row r="139" s="33" customFormat="true" ht="14.25" hidden="false" customHeight="false" outlineLevel="0" collapsed="false">
      <c r="A139" s="34" t="n">
        <f aca="false">A138+1</f>
        <v>134</v>
      </c>
      <c r="B139" s="35" t="s">
        <v>138</v>
      </c>
      <c r="C139" s="35" t="str">
        <f aca="false">"0019757"</f>
        <v>0019757</v>
      </c>
      <c r="D139" s="37" t="s">
        <v>114</v>
      </c>
      <c r="E139" s="35" t="n">
        <v>1978</v>
      </c>
      <c r="F139" s="38" t="n">
        <v>56.29</v>
      </c>
      <c r="G139" s="39" t="n">
        <v>1</v>
      </c>
      <c r="H139" s="40" t="n">
        <v>5</v>
      </c>
    </row>
    <row r="140" s="33" customFormat="true" ht="14.25" hidden="false" customHeight="false" outlineLevel="0" collapsed="false">
      <c r="A140" s="34" t="n">
        <f aca="false">A139+1</f>
        <v>135</v>
      </c>
      <c r="B140" s="35" t="s">
        <v>138</v>
      </c>
      <c r="C140" s="35" t="str">
        <f aca="false">"0021622"</f>
        <v>0021622</v>
      </c>
      <c r="D140" s="37" t="s">
        <v>139</v>
      </c>
      <c r="E140" s="35" t="n">
        <v>1980</v>
      </c>
      <c r="F140" s="38" t="n">
        <v>1052.57</v>
      </c>
      <c r="G140" s="39" t="n">
        <v>1</v>
      </c>
      <c r="H140" s="40" t="n">
        <v>40</v>
      </c>
    </row>
    <row r="141" s="33" customFormat="true" ht="14.25" hidden="false" customHeight="false" outlineLevel="0" collapsed="false">
      <c r="A141" s="34" t="n">
        <f aca="false">A140+1</f>
        <v>136</v>
      </c>
      <c r="B141" s="35" t="s">
        <v>138</v>
      </c>
      <c r="C141" s="35" t="str">
        <f aca="false">"0021623"</f>
        <v>0021623</v>
      </c>
      <c r="D141" s="37" t="s">
        <v>112</v>
      </c>
      <c r="E141" s="35" t="n">
        <v>1980</v>
      </c>
      <c r="F141" s="38" t="n">
        <v>658.56</v>
      </c>
      <c r="G141" s="39" t="n">
        <v>1</v>
      </c>
      <c r="H141" s="40" t="n">
        <v>20</v>
      </c>
    </row>
    <row r="142" s="33" customFormat="true" ht="14.25" hidden="false" customHeight="false" outlineLevel="0" collapsed="false">
      <c r="A142" s="34" t="n">
        <f aca="false">A141+1</f>
        <v>137</v>
      </c>
      <c r="B142" s="35" t="s">
        <v>138</v>
      </c>
      <c r="C142" s="35" t="str">
        <f aca="false">"0021627"</f>
        <v>0021627</v>
      </c>
      <c r="D142" s="37" t="s">
        <v>114</v>
      </c>
      <c r="E142" s="35" t="n">
        <v>1980</v>
      </c>
      <c r="F142" s="38" t="n">
        <v>1975.67</v>
      </c>
      <c r="G142" s="39" t="n">
        <v>1</v>
      </c>
      <c r="H142" s="40" t="n">
        <v>80</v>
      </c>
    </row>
    <row r="143" s="33" customFormat="true" ht="14.25" hidden="false" customHeight="false" outlineLevel="0" collapsed="false">
      <c r="A143" s="34" t="n">
        <f aca="false">A142+1</f>
        <v>138</v>
      </c>
      <c r="B143" s="35" t="s">
        <v>138</v>
      </c>
      <c r="C143" s="35" t="str">
        <f aca="false">"0030969"</f>
        <v>0030969</v>
      </c>
      <c r="D143" s="37" t="s">
        <v>41</v>
      </c>
      <c r="E143" s="35" t="n">
        <v>1990</v>
      </c>
      <c r="F143" s="38" t="n">
        <v>591.01</v>
      </c>
      <c r="G143" s="39" t="n">
        <v>1</v>
      </c>
      <c r="H143" s="40" t="n">
        <v>30</v>
      </c>
    </row>
    <row r="144" s="33" customFormat="true" ht="14.25" hidden="false" customHeight="false" outlineLevel="0" collapsed="false">
      <c r="A144" s="34" t="n">
        <f aca="false">A143+1</f>
        <v>139</v>
      </c>
      <c r="B144" s="35" t="s">
        <v>138</v>
      </c>
      <c r="C144" s="35" t="str">
        <f aca="false">"0034868"</f>
        <v>0034868</v>
      </c>
      <c r="D144" s="37" t="s">
        <v>140</v>
      </c>
      <c r="E144" s="35" t="n">
        <v>2006</v>
      </c>
      <c r="F144" s="38" t="n">
        <v>510</v>
      </c>
      <c r="G144" s="39" t="n">
        <v>1</v>
      </c>
      <c r="H144" s="40" t="n">
        <v>30</v>
      </c>
    </row>
    <row r="145" s="33" customFormat="true" ht="14.25" hidden="false" customHeight="false" outlineLevel="0" collapsed="false">
      <c r="A145" s="34" t="n">
        <f aca="false">A144+1</f>
        <v>140</v>
      </c>
      <c r="B145" s="35" t="s">
        <v>138</v>
      </c>
      <c r="C145" s="35" t="str">
        <f aca="false">"0036639"</f>
        <v>0036639</v>
      </c>
      <c r="D145" s="37" t="s">
        <v>141</v>
      </c>
      <c r="E145" s="35" t="n">
        <v>2007</v>
      </c>
      <c r="F145" s="38" t="n">
        <v>2740</v>
      </c>
      <c r="G145" s="39" t="n">
        <v>1</v>
      </c>
      <c r="H145" s="40" t="n">
        <v>250</v>
      </c>
    </row>
    <row r="146" s="33" customFormat="true" ht="14.25" hidden="false" customHeight="false" outlineLevel="0" collapsed="false">
      <c r="A146" s="34" t="n">
        <f aca="false">A145+1</f>
        <v>141</v>
      </c>
      <c r="B146" s="35" t="s">
        <v>138</v>
      </c>
      <c r="C146" s="35" t="str">
        <f aca="false">"0037624"</f>
        <v>0037624</v>
      </c>
      <c r="D146" s="37" t="s">
        <v>142</v>
      </c>
      <c r="E146" s="35" t="n">
        <v>2008</v>
      </c>
      <c r="F146" s="38" t="n">
        <v>1721.31</v>
      </c>
      <c r="G146" s="39" t="n">
        <v>3</v>
      </c>
      <c r="H146" s="40" t="n">
        <v>330</v>
      </c>
    </row>
    <row r="147" s="33" customFormat="true" ht="14.25" hidden="false" customHeight="false" outlineLevel="0" collapsed="false">
      <c r="A147" s="34" t="n">
        <f aca="false">A146+1</f>
        <v>142</v>
      </c>
      <c r="B147" s="35" t="s">
        <v>138</v>
      </c>
      <c r="C147" s="35" t="str">
        <f aca="false">"0040722"</f>
        <v>0040722</v>
      </c>
      <c r="D147" s="37" t="s">
        <v>143</v>
      </c>
      <c r="E147" s="35" t="n">
        <v>2010</v>
      </c>
      <c r="F147" s="38" t="n">
        <v>4238.18</v>
      </c>
      <c r="G147" s="39" t="n">
        <v>1</v>
      </c>
      <c r="H147" s="40" t="n">
        <v>310</v>
      </c>
    </row>
    <row r="148" s="33" customFormat="true" ht="14.25" hidden="false" customHeight="false" outlineLevel="0" collapsed="false">
      <c r="A148" s="34" t="n">
        <f aca="false">A147+1</f>
        <v>143</v>
      </c>
      <c r="B148" s="35" t="s">
        <v>138</v>
      </c>
      <c r="C148" s="35" t="str">
        <f aca="false">"0040959"</f>
        <v>0040959</v>
      </c>
      <c r="D148" s="37" t="s">
        <v>144</v>
      </c>
      <c r="E148" s="35" t="n">
        <v>2010</v>
      </c>
      <c r="F148" s="38" t="n">
        <v>5721.87</v>
      </c>
      <c r="G148" s="39" t="n">
        <v>1</v>
      </c>
      <c r="H148" s="40" t="n">
        <v>420</v>
      </c>
    </row>
    <row r="149" s="33" customFormat="true" ht="14.25" hidden="false" customHeight="false" outlineLevel="0" collapsed="false">
      <c r="A149" s="34" t="n">
        <f aca="false">A148+1</f>
        <v>144</v>
      </c>
      <c r="B149" s="35" t="s">
        <v>145</v>
      </c>
      <c r="C149" s="35" t="str">
        <f aca="false">"0017587"</f>
        <v>0017587</v>
      </c>
      <c r="D149" s="37" t="s">
        <v>42</v>
      </c>
      <c r="E149" s="35" t="n">
        <v>1978</v>
      </c>
      <c r="F149" s="38" t="n">
        <v>264.55</v>
      </c>
      <c r="G149" s="39" t="n">
        <v>1</v>
      </c>
      <c r="H149" s="40" t="n">
        <v>10</v>
      </c>
    </row>
    <row r="150" s="33" customFormat="true" ht="14.25" hidden="false" customHeight="false" outlineLevel="0" collapsed="false">
      <c r="A150" s="34" t="n">
        <f aca="false">A149+1</f>
        <v>145</v>
      </c>
      <c r="B150" s="35" t="s">
        <v>145</v>
      </c>
      <c r="C150" s="35" t="str">
        <f aca="false">"0019758"</f>
        <v>0019758</v>
      </c>
      <c r="D150" s="37" t="s">
        <v>114</v>
      </c>
      <c r="E150" s="35" t="n">
        <v>1978</v>
      </c>
      <c r="F150" s="38" t="n">
        <v>56.29</v>
      </c>
      <c r="G150" s="39" t="n">
        <v>1</v>
      </c>
      <c r="H150" s="40" t="n">
        <v>5</v>
      </c>
    </row>
    <row r="151" s="33" customFormat="true" ht="14.25" hidden="false" customHeight="false" outlineLevel="0" collapsed="false">
      <c r="A151" s="34" t="n">
        <f aca="false">A150+1</f>
        <v>146</v>
      </c>
      <c r="B151" s="35" t="s">
        <v>145</v>
      </c>
      <c r="C151" s="35" t="str">
        <f aca="false">"0019802"</f>
        <v>0019802</v>
      </c>
      <c r="D151" s="37" t="s">
        <v>42</v>
      </c>
      <c r="E151" s="35" t="n">
        <v>1978</v>
      </c>
      <c r="F151" s="38" t="n">
        <v>146.35</v>
      </c>
      <c r="G151" s="39" t="n">
        <v>1</v>
      </c>
      <c r="H151" s="40" t="n">
        <v>5</v>
      </c>
    </row>
    <row r="152" s="33" customFormat="true" ht="14.25" hidden="false" customHeight="false" outlineLevel="0" collapsed="false">
      <c r="A152" s="34" t="n">
        <f aca="false">A151+1</f>
        <v>147</v>
      </c>
      <c r="B152" s="35" t="s">
        <v>145</v>
      </c>
      <c r="C152" s="35" t="str">
        <f aca="false">"0021629"</f>
        <v>0021629</v>
      </c>
      <c r="D152" s="37" t="s">
        <v>114</v>
      </c>
      <c r="E152" s="35" t="n">
        <v>1980</v>
      </c>
      <c r="F152" s="38" t="n">
        <v>1975.67</v>
      </c>
      <c r="G152" s="39" t="n">
        <v>1</v>
      </c>
      <c r="H152" s="40" t="n">
        <v>80</v>
      </c>
    </row>
    <row r="153" s="33" customFormat="true" ht="14.25" hidden="false" customHeight="false" outlineLevel="0" collapsed="false">
      <c r="A153" s="34" t="n">
        <f aca="false">A152+1</f>
        <v>148</v>
      </c>
      <c r="B153" s="35" t="s">
        <v>145</v>
      </c>
      <c r="C153" s="35" t="str">
        <f aca="false">"0033348"</f>
        <v>0033348</v>
      </c>
      <c r="D153" s="37" t="s">
        <v>119</v>
      </c>
      <c r="E153" s="35" t="n">
        <v>2003</v>
      </c>
      <c r="F153" s="38" t="n">
        <v>666</v>
      </c>
      <c r="G153" s="39" t="n">
        <v>1</v>
      </c>
      <c r="H153" s="40" t="n">
        <v>40</v>
      </c>
    </row>
    <row r="154" s="33" customFormat="true" ht="14.25" hidden="false" customHeight="false" outlineLevel="0" collapsed="false">
      <c r="A154" s="34" t="n">
        <f aca="false">A153+1</f>
        <v>149</v>
      </c>
      <c r="B154" s="35" t="s">
        <v>145</v>
      </c>
      <c r="C154" s="35" t="str">
        <f aca="false">"0034538"</f>
        <v>0034538</v>
      </c>
      <c r="D154" s="37" t="s">
        <v>146</v>
      </c>
      <c r="E154" s="35" t="n">
        <v>2006</v>
      </c>
      <c r="F154" s="38" t="n">
        <v>280</v>
      </c>
      <c r="G154" s="39" t="n">
        <v>1</v>
      </c>
      <c r="H154" s="40" t="n">
        <v>20</v>
      </c>
    </row>
    <row r="155" s="33" customFormat="true" ht="14.25" hidden="false" customHeight="false" outlineLevel="0" collapsed="false">
      <c r="A155" s="34" t="n">
        <f aca="false">A154+1</f>
        <v>150</v>
      </c>
      <c r="B155" s="35" t="s">
        <v>145</v>
      </c>
      <c r="C155" s="35" t="str">
        <f aca="false">"0034866"</f>
        <v>0034866</v>
      </c>
      <c r="D155" s="37" t="s">
        <v>147</v>
      </c>
      <c r="E155" s="35" t="n">
        <v>2006</v>
      </c>
      <c r="F155" s="38" t="n">
        <v>1440</v>
      </c>
      <c r="G155" s="39" t="n">
        <v>1</v>
      </c>
      <c r="H155" s="40" t="n">
        <v>90</v>
      </c>
    </row>
    <row r="156" s="33" customFormat="true" ht="14.25" hidden="false" customHeight="false" outlineLevel="0" collapsed="false">
      <c r="A156" s="34" t="n">
        <f aca="false">A155+1</f>
        <v>151</v>
      </c>
      <c r="B156" s="35" t="s">
        <v>145</v>
      </c>
      <c r="C156" s="35" t="str">
        <f aca="false">"0040840"</f>
        <v>0040840</v>
      </c>
      <c r="D156" s="37" t="s">
        <v>148</v>
      </c>
      <c r="E156" s="35" t="n">
        <v>2010</v>
      </c>
      <c r="F156" s="38" t="n">
        <v>5270</v>
      </c>
      <c r="G156" s="39" t="n">
        <v>1</v>
      </c>
      <c r="H156" s="40" t="n">
        <v>390</v>
      </c>
    </row>
    <row r="157" s="33" customFormat="true" ht="14.25" hidden="false" customHeight="false" outlineLevel="0" collapsed="false">
      <c r="A157" s="34" t="n">
        <f aca="false">A156+1</f>
        <v>152</v>
      </c>
      <c r="B157" s="35" t="s">
        <v>149</v>
      </c>
      <c r="C157" s="35" t="str">
        <f aca="false">"0009014"</f>
        <v>0009014</v>
      </c>
      <c r="D157" s="37" t="s">
        <v>42</v>
      </c>
      <c r="E157" s="35" t="n">
        <v>1987</v>
      </c>
      <c r="F157" s="38" t="n">
        <v>56.29</v>
      </c>
      <c r="G157" s="39" t="n">
        <v>1</v>
      </c>
      <c r="H157" s="40" t="n">
        <v>5</v>
      </c>
    </row>
    <row r="158" s="33" customFormat="true" ht="14.25" hidden="false" customHeight="false" outlineLevel="0" collapsed="false">
      <c r="A158" s="34" t="n">
        <f aca="false">A157+1</f>
        <v>153</v>
      </c>
      <c r="B158" s="35" t="s">
        <v>149</v>
      </c>
      <c r="C158" s="35" t="str">
        <f aca="false">"0005015"</f>
        <v>0005015</v>
      </c>
      <c r="D158" s="37" t="s">
        <v>42</v>
      </c>
      <c r="E158" s="35" t="n">
        <v>1987</v>
      </c>
      <c r="F158" s="38" t="n">
        <v>28.14</v>
      </c>
      <c r="G158" s="39" t="n">
        <v>2</v>
      </c>
      <c r="H158" s="40" t="n">
        <v>10</v>
      </c>
    </row>
    <row r="159" s="33" customFormat="true" ht="14.25" hidden="false" customHeight="false" outlineLevel="0" collapsed="false">
      <c r="A159" s="34" t="n">
        <f aca="false">A158+1</f>
        <v>154</v>
      </c>
      <c r="B159" s="35" t="s">
        <v>149</v>
      </c>
      <c r="C159" s="35" t="str">
        <f aca="false">"0009850"</f>
        <v>0009850</v>
      </c>
      <c r="D159" s="37" t="s">
        <v>150</v>
      </c>
      <c r="E159" s="35" t="n">
        <v>1997</v>
      </c>
      <c r="F159" s="38" t="n">
        <v>2775</v>
      </c>
      <c r="G159" s="39" t="n">
        <v>1</v>
      </c>
      <c r="H159" s="40" t="n">
        <v>145</v>
      </c>
    </row>
    <row r="160" s="33" customFormat="true" ht="14.25" hidden="false" customHeight="false" outlineLevel="0" collapsed="false">
      <c r="A160" s="34" t="n">
        <f aca="false">A159+1</f>
        <v>155</v>
      </c>
      <c r="B160" s="35" t="s">
        <v>149</v>
      </c>
      <c r="C160" s="35" t="str">
        <f aca="false">"0010206"</f>
        <v>0010206</v>
      </c>
      <c r="D160" s="37" t="s">
        <v>151</v>
      </c>
      <c r="E160" s="35" t="n">
        <v>1998</v>
      </c>
      <c r="F160" s="38" t="n">
        <v>4622.49</v>
      </c>
      <c r="G160" s="39" t="n">
        <v>1</v>
      </c>
      <c r="H160" s="40" t="n">
        <v>150</v>
      </c>
    </row>
    <row r="161" s="33" customFormat="true" ht="14.25" hidden="false" customHeight="false" outlineLevel="0" collapsed="false">
      <c r="A161" s="34" t="n">
        <f aca="false">A160+1</f>
        <v>156</v>
      </c>
      <c r="B161" s="35" t="s">
        <v>149</v>
      </c>
      <c r="C161" s="35" t="str">
        <f aca="false">"0010969"</f>
        <v>0010969</v>
      </c>
      <c r="D161" s="37" t="s">
        <v>152</v>
      </c>
      <c r="E161" s="35" t="n">
        <v>1987</v>
      </c>
      <c r="F161" s="38" t="n">
        <v>50.66</v>
      </c>
      <c r="G161" s="39" t="n">
        <v>1</v>
      </c>
      <c r="H161" s="40" t="n">
        <v>5</v>
      </c>
    </row>
    <row r="162" s="33" customFormat="true" ht="14.25" hidden="false" customHeight="false" outlineLevel="0" collapsed="false">
      <c r="A162" s="34" t="n">
        <f aca="false">A161+1</f>
        <v>157</v>
      </c>
      <c r="B162" s="35" t="s">
        <v>149</v>
      </c>
      <c r="C162" s="35" t="str">
        <f aca="false">"0012364"</f>
        <v>0012364</v>
      </c>
      <c r="D162" s="37" t="s">
        <v>153</v>
      </c>
      <c r="E162" s="35" t="n">
        <v>2001</v>
      </c>
      <c r="F162" s="38" t="n">
        <v>68589.8</v>
      </c>
      <c r="G162" s="39" t="n">
        <v>1</v>
      </c>
      <c r="H162" s="40" t="n">
        <v>4200</v>
      </c>
    </row>
    <row r="163" s="33" customFormat="true" ht="14.25" hidden="false" customHeight="false" outlineLevel="0" collapsed="false">
      <c r="A163" s="34" t="n">
        <f aca="false">A162+1</f>
        <v>158</v>
      </c>
      <c r="B163" s="35" t="s">
        <v>149</v>
      </c>
      <c r="C163" s="35" t="str">
        <f aca="false">"0012409"</f>
        <v>0012409</v>
      </c>
      <c r="D163" s="37" t="s">
        <v>154</v>
      </c>
      <c r="E163" s="35" t="n">
        <v>2001</v>
      </c>
      <c r="F163" s="38" t="n">
        <v>7135</v>
      </c>
      <c r="G163" s="39" t="n">
        <v>1</v>
      </c>
      <c r="H163" s="40" t="n">
        <v>420</v>
      </c>
    </row>
    <row r="164" s="33" customFormat="true" ht="14.25" hidden="false" customHeight="false" outlineLevel="0" collapsed="false">
      <c r="A164" s="34" t="n">
        <f aca="false">A163+1</f>
        <v>159</v>
      </c>
      <c r="B164" s="35" t="s">
        <v>149</v>
      </c>
      <c r="C164" s="35" t="str">
        <f aca="false">"0013099"</f>
        <v>0013099</v>
      </c>
      <c r="D164" s="37" t="s">
        <v>155</v>
      </c>
      <c r="E164" s="35" t="n">
        <v>2002</v>
      </c>
      <c r="F164" s="38" t="n">
        <v>1060</v>
      </c>
      <c r="G164" s="39" t="n">
        <v>1</v>
      </c>
      <c r="H164" s="40" t="n">
        <v>65</v>
      </c>
    </row>
    <row r="165" s="33" customFormat="true" ht="14.25" hidden="false" customHeight="false" outlineLevel="0" collapsed="false">
      <c r="A165" s="34" t="n">
        <f aca="false">A164+1</f>
        <v>160</v>
      </c>
      <c r="B165" s="35" t="s">
        <v>149</v>
      </c>
      <c r="C165" s="35" t="str">
        <f aca="false">"0013156"</f>
        <v>0013156</v>
      </c>
      <c r="D165" s="37" t="s">
        <v>153</v>
      </c>
      <c r="E165" s="35" t="n">
        <v>2003</v>
      </c>
      <c r="F165" s="38" t="n">
        <v>4513.22</v>
      </c>
      <c r="G165" s="39" t="n">
        <v>1</v>
      </c>
      <c r="H165" s="40" t="n">
        <v>285</v>
      </c>
    </row>
    <row r="166" s="33" customFormat="true" ht="14.25" hidden="false" customHeight="false" outlineLevel="0" collapsed="false">
      <c r="A166" s="34" t="n">
        <f aca="false">A165+1</f>
        <v>161</v>
      </c>
      <c r="B166" s="35" t="s">
        <v>149</v>
      </c>
      <c r="C166" s="35" t="str">
        <f aca="false">"0013178"</f>
        <v>0013178</v>
      </c>
      <c r="D166" s="37" t="s">
        <v>156</v>
      </c>
      <c r="E166" s="35" t="n">
        <v>2003</v>
      </c>
      <c r="F166" s="38" t="n">
        <v>1071</v>
      </c>
      <c r="G166" s="39" t="n">
        <v>1</v>
      </c>
      <c r="H166" s="40" t="n">
        <v>90</v>
      </c>
    </row>
    <row r="167" s="33" customFormat="true" ht="14.25" hidden="false" customHeight="false" outlineLevel="0" collapsed="false">
      <c r="A167" s="34" t="n">
        <f aca="false">A166+1</f>
        <v>162</v>
      </c>
      <c r="B167" s="35" t="s">
        <v>149</v>
      </c>
      <c r="C167" s="35" t="str">
        <f aca="false">"0013325"</f>
        <v>0013325</v>
      </c>
      <c r="D167" s="37" t="s">
        <v>157</v>
      </c>
      <c r="E167" s="35" t="n">
        <v>2003</v>
      </c>
      <c r="F167" s="38" t="n">
        <v>3410.84</v>
      </c>
      <c r="G167" s="39" t="n">
        <v>1</v>
      </c>
      <c r="H167" s="40" t="n">
        <v>215</v>
      </c>
    </row>
    <row r="168" s="33" customFormat="true" ht="14.25" hidden="false" customHeight="false" outlineLevel="0" collapsed="false">
      <c r="A168" s="34" t="n">
        <f aca="false">A167+1</f>
        <v>163</v>
      </c>
      <c r="B168" s="35" t="s">
        <v>149</v>
      </c>
      <c r="C168" s="35" t="str">
        <f aca="false">"0013479"</f>
        <v>0013479</v>
      </c>
      <c r="D168" s="37" t="s">
        <v>158</v>
      </c>
      <c r="E168" s="35" t="n">
        <v>2003</v>
      </c>
      <c r="F168" s="38" t="n">
        <v>914.19</v>
      </c>
      <c r="G168" s="39" t="n">
        <v>2</v>
      </c>
      <c r="H168" s="40" t="n">
        <v>100</v>
      </c>
    </row>
    <row r="169" s="33" customFormat="true" ht="14.25" hidden="false" customHeight="false" outlineLevel="0" collapsed="false">
      <c r="A169" s="34" t="n">
        <f aca="false">A168+1</f>
        <v>164</v>
      </c>
      <c r="B169" s="35" t="s">
        <v>149</v>
      </c>
      <c r="C169" s="35" t="str">
        <f aca="false">"0015528"</f>
        <v>0015528</v>
      </c>
      <c r="D169" s="37" t="s">
        <v>159</v>
      </c>
      <c r="E169" s="35" t="n">
        <v>2006</v>
      </c>
      <c r="F169" s="38" t="n">
        <v>5655</v>
      </c>
      <c r="G169" s="39" t="n">
        <v>1</v>
      </c>
      <c r="H169" s="40" t="n">
        <v>470</v>
      </c>
    </row>
    <row r="170" s="33" customFormat="true" ht="14.25" hidden="false" customHeight="false" outlineLevel="0" collapsed="false">
      <c r="A170" s="34" t="n">
        <f aca="false">A169+1</f>
        <v>165</v>
      </c>
      <c r="B170" s="35" t="s">
        <v>149</v>
      </c>
      <c r="C170" s="35" t="str">
        <f aca="false">"0015562"</f>
        <v>0015562</v>
      </c>
      <c r="D170" s="37" t="s">
        <v>160</v>
      </c>
      <c r="E170" s="35" t="n">
        <v>2006</v>
      </c>
      <c r="F170" s="38" t="n">
        <v>2390.16</v>
      </c>
      <c r="G170" s="39" t="n">
        <v>1</v>
      </c>
      <c r="H170" s="40" t="n">
        <v>150</v>
      </c>
    </row>
    <row r="171" s="33" customFormat="true" ht="14.25" hidden="false" customHeight="false" outlineLevel="0" collapsed="false">
      <c r="A171" s="34" t="n">
        <f aca="false">A170+1</f>
        <v>166</v>
      </c>
      <c r="B171" s="35" t="s">
        <v>149</v>
      </c>
      <c r="C171" s="35" t="str">
        <f aca="false">"0015806"</f>
        <v>0015806</v>
      </c>
      <c r="D171" s="37" t="s">
        <v>161</v>
      </c>
      <c r="E171" s="35" t="n">
        <v>2006</v>
      </c>
      <c r="F171" s="38" t="n">
        <v>2150</v>
      </c>
      <c r="G171" s="39" t="n">
        <v>1</v>
      </c>
      <c r="H171" s="40" t="n">
        <v>220</v>
      </c>
    </row>
    <row r="172" s="33" customFormat="true" ht="14.25" hidden="false" customHeight="false" outlineLevel="0" collapsed="false">
      <c r="A172" s="34" t="n">
        <f aca="false">A171+1</f>
        <v>167</v>
      </c>
      <c r="B172" s="35" t="s">
        <v>149</v>
      </c>
      <c r="C172" s="35" t="str">
        <f aca="false">"0015916"</f>
        <v>0015916</v>
      </c>
      <c r="D172" s="37" t="s">
        <v>162</v>
      </c>
      <c r="E172" s="35" t="n">
        <v>2006</v>
      </c>
      <c r="F172" s="38" t="n">
        <v>830</v>
      </c>
      <c r="G172" s="39" t="n">
        <v>1</v>
      </c>
      <c r="H172" s="40" t="n">
        <v>70</v>
      </c>
    </row>
    <row r="173" s="33" customFormat="true" ht="14.25" hidden="false" customHeight="false" outlineLevel="0" collapsed="false">
      <c r="A173" s="34" t="n">
        <f aca="false">A172+1</f>
        <v>168</v>
      </c>
      <c r="B173" s="35" t="s">
        <v>149</v>
      </c>
      <c r="C173" s="35" t="str">
        <f aca="false">"0023600"</f>
        <v>0023600</v>
      </c>
      <c r="D173" s="37" t="s">
        <v>114</v>
      </c>
      <c r="E173" s="35" t="n">
        <v>1982</v>
      </c>
      <c r="F173" s="38" t="n">
        <v>2645.49</v>
      </c>
      <c r="G173" s="39" t="n">
        <v>2</v>
      </c>
      <c r="H173" s="40" t="n">
        <v>220</v>
      </c>
    </row>
    <row r="174" s="33" customFormat="true" ht="14.25" hidden="false" customHeight="false" outlineLevel="0" collapsed="false">
      <c r="A174" s="34" t="n">
        <f aca="false">A173+1</f>
        <v>169</v>
      </c>
      <c r="B174" s="35" t="s">
        <v>149</v>
      </c>
      <c r="C174" s="35" t="str">
        <f aca="false">"0031831"</f>
        <v>0031831</v>
      </c>
      <c r="D174" s="37" t="s">
        <v>42</v>
      </c>
      <c r="E174" s="35" t="n">
        <v>1993</v>
      </c>
      <c r="F174" s="38" t="n">
        <v>73.17</v>
      </c>
      <c r="G174" s="39" t="n">
        <v>6</v>
      </c>
      <c r="H174" s="40" t="n">
        <v>30</v>
      </c>
    </row>
    <row r="175" s="33" customFormat="true" ht="14.25" hidden="false" customHeight="false" outlineLevel="0" collapsed="false">
      <c r="A175" s="34" t="n">
        <f aca="false">A174+1</f>
        <v>170</v>
      </c>
      <c r="B175" s="35" t="s">
        <v>149</v>
      </c>
      <c r="C175" s="35" t="str">
        <f aca="false">"0033304"</f>
        <v>0033304</v>
      </c>
      <c r="D175" s="37" t="s">
        <v>163</v>
      </c>
      <c r="E175" s="35" t="n">
        <v>2003</v>
      </c>
      <c r="F175" s="38" t="n">
        <v>339</v>
      </c>
      <c r="G175" s="39" t="n">
        <v>1</v>
      </c>
      <c r="H175" s="40" t="n">
        <v>20</v>
      </c>
    </row>
    <row r="176" s="33" customFormat="true" ht="14.25" hidden="false" customHeight="false" outlineLevel="0" collapsed="false">
      <c r="A176" s="34" t="n">
        <f aca="false">A175+1</f>
        <v>171</v>
      </c>
      <c r="B176" s="35" t="s">
        <v>149</v>
      </c>
      <c r="C176" s="35" t="str">
        <f aca="false">"0034849"</f>
        <v>0034849</v>
      </c>
      <c r="D176" s="37" t="s">
        <v>164</v>
      </c>
      <c r="E176" s="35" t="n">
        <v>2006</v>
      </c>
      <c r="F176" s="38" t="n">
        <v>941.68</v>
      </c>
      <c r="G176" s="39" t="n">
        <v>1</v>
      </c>
      <c r="H176" s="40" t="n">
        <v>60</v>
      </c>
    </row>
    <row r="177" s="33" customFormat="true" ht="14.25" hidden="false" customHeight="false" outlineLevel="0" collapsed="false">
      <c r="A177" s="34" t="n">
        <f aca="false">A176+1</f>
        <v>172</v>
      </c>
      <c r="B177" s="35" t="s">
        <v>149</v>
      </c>
      <c r="C177" s="35" t="str">
        <f aca="false">"0035233"</f>
        <v>0035233</v>
      </c>
      <c r="D177" s="37" t="s">
        <v>165</v>
      </c>
      <c r="E177" s="35" t="n">
        <v>2007</v>
      </c>
      <c r="F177" s="38" t="n">
        <v>6810</v>
      </c>
      <c r="G177" s="39" t="n">
        <v>1</v>
      </c>
      <c r="H177" s="40" t="n">
        <v>340</v>
      </c>
    </row>
    <row r="178" s="33" customFormat="true" ht="14.25" hidden="false" customHeight="false" outlineLevel="0" collapsed="false">
      <c r="A178" s="34" t="n">
        <f aca="false">A177+1</f>
        <v>173</v>
      </c>
      <c r="B178" s="35" t="s">
        <v>149</v>
      </c>
      <c r="C178" s="35" t="str">
        <f aca="false">"0036640"</f>
        <v>0036640</v>
      </c>
      <c r="D178" s="37" t="s">
        <v>166</v>
      </c>
      <c r="E178" s="35" t="n">
        <v>2007</v>
      </c>
      <c r="F178" s="38" t="n">
        <v>670</v>
      </c>
      <c r="G178" s="39" t="n">
        <v>1</v>
      </c>
      <c r="H178" s="40" t="n">
        <v>50</v>
      </c>
    </row>
    <row r="179" s="33" customFormat="true" ht="14.25" hidden="false" customHeight="false" outlineLevel="0" collapsed="false">
      <c r="A179" s="34" t="n">
        <f aca="false">A178+1</f>
        <v>174</v>
      </c>
      <c r="B179" s="35" t="s">
        <v>149</v>
      </c>
      <c r="C179" s="35" t="str">
        <f aca="false">"0038431"</f>
        <v>0038431</v>
      </c>
      <c r="D179" s="37" t="s">
        <v>167</v>
      </c>
      <c r="E179" s="35" t="n">
        <v>2008</v>
      </c>
      <c r="F179" s="38" t="n">
        <v>743</v>
      </c>
      <c r="G179" s="39" t="n">
        <v>1</v>
      </c>
      <c r="H179" s="40" t="n">
        <v>70</v>
      </c>
    </row>
    <row r="180" s="33" customFormat="true" ht="14.25" hidden="false" customHeight="false" outlineLevel="0" collapsed="false">
      <c r="A180" s="34" t="n">
        <f aca="false">A179+1</f>
        <v>175</v>
      </c>
      <c r="B180" s="35" t="s">
        <v>149</v>
      </c>
      <c r="C180" s="35" t="str">
        <f aca="false">"0038432"</f>
        <v>0038432</v>
      </c>
      <c r="D180" s="37" t="s">
        <v>168</v>
      </c>
      <c r="E180" s="35" t="n">
        <v>2008</v>
      </c>
      <c r="F180" s="38" t="n">
        <v>804</v>
      </c>
      <c r="G180" s="39" t="n">
        <v>1</v>
      </c>
      <c r="H180" s="40" t="n">
        <v>80</v>
      </c>
    </row>
    <row r="181" s="33" customFormat="true" ht="14.25" hidden="false" customHeight="false" outlineLevel="0" collapsed="false">
      <c r="A181" s="34" t="n">
        <f aca="false">A180+1</f>
        <v>176</v>
      </c>
      <c r="B181" s="35" t="s">
        <v>149</v>
      </c>
      <c r="C181" s="35" t="str">
        <f aca="false">"0038433"</f>
        <v>0038433</v>
      </c>
      <c r="D181" s="37" t="s">
        <v>169</v>
      </c>
      <c r="E181" s="35" t="n">
        <v>2008</v>
      </c>
      <c r="F181" s="38" t="n">
        <v>821</v>
      </c>
      <c r="G181" s="39" t="n">
        <v>2</v>
      </c>
      <c r="H181" s="40" t="n">
        <v>160</v>
      </c>
    </row>
    <row r="182" s="33" customFormat="true" ht="14.25" hidden="false" customHeight="false" outlineLevel="0" collapsed="false">
      <c r="A182" s="34" t="n">
        <f aca="false">A181+1</f>
        <v>177</v>
      </c>
      <c r="B182" s="35" t="s">
        <v>149</v>
      </c>
      <c r="C182" s="35" t="str">
        <f aca="false">"0039264"</f>
        <v>0039264</v>
      </c>
      <c r="D182" s="37" t="s">
        <v>170</v>
      </c>
      <c r="E182" s="35" t="n">
        <v>2008</v>
      </c>
      <c r="F182" s="38" t="n">
        <v>1666</v>
      </c>
      <c r="G182" s="39" t="n">
        <v>1</v>
      </c>
      <c r="H182" s="40" t="n">
        <v>170</v>
      </c>
    </row>
    <row r="183" s="33" customFormat="true" ht="14.25" hidden="false" customHeight="false" outlineLevel="0" collapsed="false">
      <c r="A183" s="34" t="n">
        <f aca="false">A182+1</f>
        <v>178</v>
      </c>
      <c r="B183" s="35" t="s">
        <v>149</v>
      </c>
      <c r="C183" s="35" t="str">
        <f aca="false">"0039477"</f>
        <v>0039477</v>
      </c>
      <c r="D183" s="37" t="s">
        <v>171</v>
      </c>
      <c r="E183" s="35" t="n">
        <v>2009</v>
      </c>
      <c r="F183" s="38" t="n">
        <v>1271.37</v>
      </c>
      <c r="G183" s="39" t="n">
        <v>1</v>
      </c>
      <c r="H183" s="40" t="n">
        <v>140</v>
      </c>
    </row>
    <row r="184" s="33" customFormat="true" ht="14.25" hidden="false" customHeight="false" outlineLevel="0" collapsed="false">
      <c r="A184" s="34" t="n">
        <f aca="false">A183+1</f>
        <v>179</v>
      </c>
      <c r="B184" s="35" t="s">
        <v>149</v>
      </c>
      <c r="C184" s="35" t="str">
        <f aca="false">"0040690"</f>
        <v>0040690</v>
      </c>
      <c r="D184" s="37" t="s">
        <v>172</v>
      </c>
      <c r="E184" s="35" t="n">
        <v>2010</v>
      </c>
      <c r="F184" s="38" t="n">
        <v>6490</v>
      </c>
      <c r="G184" s="39" t="n">
        <v>1</v>
      </c>
      <c r="H184" s="40" t="n">
        <v>1200</v>
      </c>
    </row>
    <row r="185" s="33" customFormat="true" ht="14.25" hidden="false" customHeight="false" outlineLevel="0" collapsed="false">
      <c r="A185" s="34" t="n">
        <f aca="false">A184+1</f>
        <v>180</v>
      </c>
      <c r="B185" s="35" t="s">
        <v>149</v>
      </c>
      <c r="C185" s="35" t="str">
        <f aca="false">"0040703"</f>
        <v>0040703</v>
      </c>
      <c r="D185" s="37" t="s">
        <v>173</v>
      </c>
      <c r="E185" s="35" t="n">
        <v>2010</v>
      </c>
      <c r="F185" s="38" t="n">
        <v>23888</v>
      </c>
      <c r="G185" s="39" t="n">
        <v>1</v>
      </c>
      <c r="H185" s="40" t="n">
        <v>4400</v>
      </c>
    </row>
    <row r="186" s="33" customFormat="true" ht="14.25" hidden="false" customHeight="false" outlineLevel="0" collapsed="false">
      <c r="A186" s="34" t="n">
        <f aca="false">A185+1</f>
        <v>181</v>
      </c>
      <c r="B186" s="35" t="s">
        <v>149</v>
      </c>
      <c r="C186" s="35" t="str">
        <f aca="false">"0040729"</f>
        <v>0040729</v>
      </c>
      <c r="D186" s="37" t="s">
        <v>143</v>
      </c>
      <c r="E186" s="35" t="n">
        <v>2010</v>
      </c>
      <c r="F186" s="38" t="n">
        <v>4503.18</v>
      </c>
      <c r="G186" s="39" t="n">
        <v>1</v>
      </c>
      <c r="H186" s="40" t="n">
        <v>330</v>
      </c>
    </row>
    <row r="187" s="33" customFormat="true" ht="14.25" hidden="false" customHeight="false" outlineLevel="0" collapsed="false">
      <c r="A187" s="34" t="n">
        <f aca="false">A186+1</f>
        <v>182</v>
      </c>
      <c r="B187" s="35" t="s">
        <v>149</v>
      </c>
      <c r="C187" s="35" t="str">
        <f aca="false">"0040842"</f>
        <v>0040842</v>
      </c>
      <c r="D187" s="37" t="s">
        <v>174</v>
      </c>
      <c r="E187" s="35" t="n">
        <v>2010</v>
      </c>
      <c r="F187" s="38" t="n">
        <v>176902</v>
      </c>
      <c r="G187" s="39" t="n">
        <v>1</v>
      </c>
      <c r="H187" s="40" t="n">
        <v>21700</v>
      </c>
    </row>
    <row r="188" s="33" customFormat="true" ht="14.25" hidden="false" customHeight="false" outlineLevel="0" collapsed="false">
      <c r="A188" s="34" t="n">
        <f aca="false">A187+1</f>
        <v>183</v>
      </c>
      <c r="B188" s="35" t="s">
        <v>149</v>
      </c>
      <c r="C188" s="35" t="str">
        <f aca="false">"0040858"</f>
        <v>0040858</v>
      </c>
      <c r="D188" s="37" t="s">
        <v>175</v>
      </c>
      <c r="E188" s="35" t="n">
        <v>2010</v>
      </c>
      <c r="F188" s="38" t="n">
        <v>4251</v>
      </c>
      <c r="G188" s="39" t="n">
        <v>1</v>
      </c>
      <c r="H188" s="40" t="n">
        <v>440</v>
      </c>
    </row>
    <row r="189" s="33" customFormat="true" ht="14.25" hidden="false" customHeight="false" outlineLevel="0" collapsed="false">
      <c r="A189" s="34" t="n">
        <f aca="false">A188+1</f>
        <v>184</v>
      </c>
      <c r="B189" s="35" t="s">
        <v>149</v>
      </c>
      <c r="C189" s="35" t="str">
        <f aca="false">"0041025"</f>
        <v>0041025</v>
      </c>
      <c r="D189" s="37" t="s">
        <v>176</v>
      </c>
      <c r="E189" s="35" t="n">
        <v>2010</v>
      </c>
      <c r="F189" s="38" t="n">
        <v>13406</v>
      </c>
      <c r="G189" s="39" t="n">
        <v>1</v>
      </c>
      <c r="H189" s="40" t="n">
        <v>1380</v>
      </c>
    </row>
    <row r="190" s="33" customFormat="true" ht="14.25" hidden="false" customHeight="false" outlineLevel="0" collapsed="false">
      <c r="A190" s="34" t="n">
        <f aca="false">A189+1</f>
        <v>185</v>
      </c>
      <c r="B190" s="35" t="s">
        <v>149</v>
      </c>
      <c r="C190" s="35" t="str">
        <f aca="false">"0041277"</f>
        <v>0041277</v>
      </c>
      <c r="D190" s="37" t="s">
        <v>177</v>
      </c>
      <c r="E190" s="35" t="n">
        <v>2011</v>
      </c>
      <c r="F190" s="38" t="n">
        <v>145867</v>
      </c>
      <c r="G190" s="39" t="n">
        <v>1</v>
      </c>
      <c r="H190" s="40" t="n">
        <v>21000</v>
      </c>
    </row>
    <row r="191" s="33" customFormat="true" ht="14.25" hidden="false" customHeight="false" outlineLevel="0" collapsed="false">
      <c r="A191" s="34" t="n">
        <f aca="false">A190+1</f>
        <v>186</v>
      </c>
      <c r="B191" s="35" t="s">
        <v>149</v>
      </c>
      <c r="C191" s="35" t="str">
        <f aca="false">"0041493"</f>
        <v>0041493</v>
      </c>
      <c r="D191" s="37" t="s">
        <v>178</v>
      </c>
      <c r="E191" s="35" t="n">
        <v>2011</v>
      </c>
      <c r="F191" s="38" t="n">
        <v>4791.29</v>
      </c>
      <c r="G191" s="39" t="n">
        <v>1</v>
      </c>
      <c r="H191" s="40" t="n">
        <v>540</v>
      </c>
    </row>
    <row r="192" s="33" customFormat="true" ht="14.25" hidden="false" customHeight="false" outlineLevel="0" collapsed="false">
      <c r="A192" s="34" t="n">
        <f aca="false">A191+1</f>
        <v>187</v>
      </c>
      <c r="B192" s="35" t="s">
        <v>149</v>
      </c>
      <c r="C192" s="35" t="str">
        <f aca="false">"0041494"</f>
        <v>0041494</v>
      </c>
      <c r="D192" s="37" t="s">
        <v>179</v>
      </c>
      <c r="E192" s="35" t="n">
        <v>2011</v>
      </c>
      <c r="F192" s="38" t="n">
        <v>7033.47</v>
      </c>
      <c r="G192" s="39" t="n">
        <v>1</v>
      </c>
      <c r="H192" s="40" t="n">
        <v>800</v>
      </c>
    </row>
    <row r="193" s="33" customFormat="true" ht="14.25" hidden="false" customHeight="false" outlineLevel="0" collapsed="false">
      <c r="A193" s="34" t="n">
        <f aca="false">A192+1</f>
        <v>188</v>
      </c>
      <c r="B193" s="35" t="s">
        <v>149</v>
      </c>
      <c r="C193" s="35" t="str">
        <f aca="false">"0042310"</f>
        <v>0042310</v>
      </c>
      <c r="D193" s="37" t="s">
        <v>180</v>
      </c>
      <c r="E193" s="35" t="n">
        <v>2012</v>
      </c>
      <c r="F193" s="38" t="n">
        <v>3676.95</v>
      </c>
      <c r="G193" s="39" t="n">
        <v>2</v>
      </c>
      <c r="H193" s="40" t="n">
        <v>680</v>
      </c>
    </row>
    <row r="194" s="33" customFormat="true" ht="14.25" hidden="false" customHeight="false" outlineLevel="0" collapsed="false">
      <c r="A194" s="34" t="n">
        <f aca="false">A193+1</f>
        <v>189</v>
      </c>
      <c r="B194" s="35" t="s">
        <v>149</v>
      </c>
      <c r="C194" s="35" t="str">
        <f aca="false">"0042703"</f>
        <v>0042703</v>
      </c>
      <c r="D194" s="37" t="s">
        <v>98</v>
      </c>
      <c r="E194" s="35" t="n">
        <v>2012</v>
      </c>
      <c r="F194" s="38" t="n">
        <v>134.39</v>
      </c>
      <c r="G194" s="39" t="n">
        <v>1</v>
      </c>
      <c r="H194" s="40" t="n">
        <v>25</v>
      </c>
    </row>
    <row r="195" s="33" customFormat="true" ht="14.25" hidden="false" customHeight="false" outlineLevel="0" collapsed="false">
      <c r="A195" s="45" t="n">
        <f aca="false">A194+1</f>
        <v>190</v>
      </c>
      <c r="B195" s="35" t="s">
        <v>149</v>
      </c>
      <c r="C195" s="35" t="str">
        <f aca="false">"0049823"</f>
        <v>0049823</v>
      </c>
      <c r="D195" s="37" t="s">
        <v>181</v>
      </c>
      <c r="E195" s="35" t="n">
        <v>2017</v>
      </c>
      <c r="F195" s="38" t="n">
        <v>821.44</v>
      </c>
      <c r="G195" s="39" t="n">
        <v>1</v>
      </c>
      <c r="H195" s="40" t="n">
        <v>400</v>
      </c>
    </row>
    <row r="196" s="33" customFormat="true" ht="14.25" hidden="false" customHeight="false" outlineLevel="0" collapsed="false">
      <c r="A196" s="34" t="n">
        <f aca="false">A195+1</f>
        <v>191</v>
      </c>
      <c r="B196" s="35" t="s">
        <v>182</v>
      </c>
      <c r="C196" s="35" t="str">
        <f aca="false">"0033385"</f>
        <v>0033385</v>
      </c>
      <c r="D196" s="37" t="s">
        <v>183</v>
      </c>
      <c r="E196" s="35" t="n">
        <v>2003</v>
      </c>
      <c r="F196" s="38" t="n">
        <v>1055</v>
      </c>
      <c r="G196" s="39" t="n">
        <v>1</v>
      </c>
      <c r="H196" s="40" t="n">
        <v>60</v>
      </c>
    </row>
    <row r="197" s="33" customFormat="true" ht="14.25" hidden="false" customHeight="false" outlineLevel="0" collapsed="false">
      <c r="A197" s="34" t="n">
        <f aca="false">A196+1</f>
        <v>192</v>
      </c>
      <c r="B197" s="35" t="s">
        <v>182</v>
      </c>
      <c r="C197" s="35" t="str">
        <f aca="false">"0041468"</f>
        <v>0041468</v>
      </c>
      <c r="D197" s="37" t="s">
        <v>184</v>
      </c>
      <c r="E197" s="35" t="n">
        <v>2011</v>
      </c>
      <c r="F197" s="38" t="n">
        <v>5454.9</v>
      </c>
      <c r="G197" s="39" t="n">
        <v>1</v>
      </c>
      <c r="H197" s="40" t="n">
        <v>460</v>
      </c>
    </row>
    <row r="198" s="33" customFormat="true" ht="14.25" hidden="false" customHeight="false" outlineLevel="0" collapsed="false">
      <c r="A198" s="34" t="n">
        <f aca="false">A197+1</f>
        <v>193</v>
      </c>
      <c r="B198" s="35" t="s">
        <v>185</v>
      </c>
      <c r="C198" s="35" t="str">
        <f aca="false">"0012621"</f>
        <v>0012621</v>
      </c>
      <c r="D198" s="37" t="s">
        <v>186</v>
      </c>
      <c r="E198" s="35" t="n">
        <v>1987</v>
      </c>
      <c r="F198" s="38" t="n">
        <v>332.09</v>
      </c>
      <c r="G198" s="39" t="n">
        <v>1</v>
      </c>
      <c r="H198" s="40" t="n">
        <v>15</v>
      </c>
    </row>
    <row r="199" s="33" customFormat="true" ht="14.25" hidden="false" customHeight="false" outlineLevel="0" collapsed="false">
      <c r="A199" s="34" t="n">
        <f aca="false">A198+1</f>
        <v>194</v>
      </c>
      <c r="B199" s="35" t="s">
        <v>185</v>
      </c>
      <c r="C199" s="35" t="str">
        <f aca="false">"0013549"</f>
        <v>0013549</v>
      </c>
      <c r="D199" s="37" t="s">
        <v>187</v>
      </c>
      <c r="E199" s="35" t="n">
        <v>2003</v>
      </c>
      <c r="F199" s="38" t="n">
        <v>14915</v>
      </c>
      <c r="G199" s="39" t="n">
        <v>1</v>
      </c>
      <c r="H199" s="40" t="n">
        <v>870</v>
      </c>
    </row>
    <row r="200" s="33" customFormat="true" ht="14.25" hidden="false" customHeight="false" outlineLevel="0" collapsed="false">
      <c r="A200" s="34" t="n">
        <f aca="false">A199+1</f>
        <v>195</v>
      </c>
      <c r="B200" s="35" t="s">
        <v>185</v>
      </c>
      <c r="C200" s="35" t="str">
        <f aca="false">"0013571"</f>
        <v>0013571</v>
      </c>
      <c r="D200" s="37" t="s">
        <v>188</v>
      </c>
      <c r="E200" s="35" t="n">
        <v>2003</v>
      </c>
      <c r="F200" s="38" t="n">
        <v>5989.78</v>
      </c>
      <c r="G200" s="39" t="n">
        <v>1</v>
      </c>
      <c r="H200" s="40" t="n">
        <v>380</v>
      </c>
    </row>
    <row r="201" s="33" customFormat="true" ht="14.25" hidden="false" customHeight="false" outlineLevel="0" collapsed="false">
      <c r="A201" s="34" t="n">
        <f aca="false">A200+1</f>
        <v>196</v>
      </c>
      <c r="B201" s="35" t="s">
        <v>185</v>
      </c>
      <c r="C201" s="35" t="str">
        <f aca="false">"0014477"</f>
        <v>0014477</v>
      </c>
      <c r="D201" s="37" t="s">
        <v>189</v>
      </c>
      <c r="E201" s="35" t="n">
        <v>2004</v>
      </c>
      <c r="F201" s="38" t="n">
        <v>5334.2</v>
      </c>
      <c r="G201" s="39" t="n">
        <v>1</v>
      </c>
      <c r="H201" s="40" t="n">
        <v>200</v>
      </c>
    </row>
    <row r="202" s="33" customFormat="true" ht="14.25" hidden="false" customHeight="false" outlineLevel="0" collapsed="false">
      <c r="A202" s="34" t="n">
        <f aca="false">A201+1</f>
        <v>197</v>
      </c>
      <c r="B202" s="35" t="s">
        <v>185</v>
      </c>
      <c r="C202" s="35" t="str">
        <f aca="false">"0014907"</f>
        <v>0014907</v>
      </c>
      <c r="D202" s="37" t="s">
        <v>42</v>
      </c>
      <c r="E202" s="35" t="n">
        <v>1987</v>
      </c>
      <c r="F202" s="38" t="n">
        <v>163.23</v>
      </c>
      <c r="G202" s="39" t="n">
        <v>1</v>
      </c>
      <c r="H202" s="40" t="n">
        <v>5</v>
      </c>
    </row>
    <row r="203" s="33" customFormat="true" ht="14.25" hidden="false" customHeight="false" outlineLevel="0" collapsed="false">
      <c r="A203" s="34" t="n">
        <f aca="false">A202+1</f>
        <v>198</v>
      </c>
      <c r="B203" s="35" t="s">
        <v>185</v>
      </c>
      <c r="C203" s="35" t="str">
        <f aca="false">"0015786"</f>
        <v>0015786</v>
      </c>
      <c r="D203" s="37" t="s">
        <v>190</v>
      </c>
      <c r="E203" s="35" t="n">
        <v>2006</v>
      </c>
      <c r="F203" s="38" t="n">
        <v>2755</v>
      </c>
      <c r="G203" s="39" t="n">
        <v>1</v>
      </c>
      <c r="H203" s="40" t="n">
        <v>170</v>
      </c>
    </row>
    <row r="204" s="33" customFormat="true" ht="14.25" hidden="false" customHeight="false" outlineLevel="0" collapsed="false">
      <c r="A204" s="34" t="n">
        <f aca="false">A203+1</f>
        <v>199</v>
      </c>
      <c r="B204" s="35" t="s">
        <v>185</v>
      </c>
      <c r="C204" s="35" t="str">
        <f aca="false">"0018047"</f>
        <v>0018047</v>
      </c>
      <c r="D204" s="37" t="s">
        <v>42</v>
      </c>
      <c r="E204" s="35" t="n">
        <v>1987</v>
      </c>
      <c r="F204" s="38" t="n">
        <v>157.6</v>
      </c>
      <c r="G204" s="39" t="n">
        <v>1</v>
      </c>
      <c r="H204" s="40" t="n">
        <v>5</v>
      </c>
    </row>
    <row r="205" s="33" customFormat="true" ht="14.25" hidden="false" customHeight="false" outlineLevel="0" collapsed="false">
      <c r="A205" s="34" t="n">
        <f aca="false">A204+1</f>
        <v>200</v>
      </c>
      <c r="B205" s="35" t="s">
        <v>185</v>
      </c>
      <c r="C205" s="35" t="str">
        <f aca="false">"0018423"</f>
        <v>0018423</v>
      </c>
      <c r="D205" s="37" t="s">
        <v>113</v>
      </c>
      <c r="E205" s="35" t="n">
        <v>1987</v>
      </c>
      <c r="F205" s="38" t="n">
        <v>22.51</v>
      </c>
      <c r="G205" s="39" t="n">
        <v>1</v>
      </c>
      <c r="H205" s="40" t="n">
        <v>5</v>
      </c>
    </row>
    <row r="206" s="33" customFormat="true" ht="14.25" hidden="false" customHeight="false" outlineLevel="0" collapsed="false">
      <c r="A206" s="34" t="n">
        <f aca="false">A205+1</f>
        <v>201</v>
      </c>
      <c r="B206" s="35" t="s">
        <v>185</v>
      </c>
      <c r="C206" s="35" t="str">
        <f aca="false">"0019797"</f>
        <v>0019797</v>
      </c>
      <c r="D206" s="37" t="s">
        <v>112</v>
      </c>
      <c r="E206" s="35" t="n">
        <v>1987</v>
      </c>
      <c r="F206" s="38" t="n">
        <v>56.29</v>
      </c>
      <c r="G206" s="39" t="n">
        <v>1</v>
      </c>
      <c r="H206" s="40" t="n">
        <v>5</v>
      </c>
    </row>
    <row r="207" s="33" customFormat="true" ht="14.25" hidden="false" customHeight="false" outlineLevel="0" collapsed="false">
      <c r="A207" s="34" t="n">
        <f aca="false">A206+1</f>
        <v>202</v>
      </c>
      <c r="B207" s="35" t="s">
        <v>185</v>
      </c>
      <c r="C207" s="35" t="str">
        <f aca="false">"0020427"</f>
        <v>0020427</v>
      </c>
      <c r="D207" s="37" t="s">
        <v>139</v>
      </c>
      <c r="E207" s="35" t="n">
        <v>1979</v>
      </c>
      <c r="F207" s="38" t="n">
        <v>1052.57</v>
      </c>
      <c r="G207" s="39" t="n">
        <v>2</v>
      </c>
      <c r="H207" s="40" t="n">
        <v>80</v>
      </c>
    </row>
    <row r="208" s="33" customFormat="true" ht="14.25" hidden="false" customHeight="false" outlineLevel="0" collapsed="false">
      <c r="A208" s="34" t="n">
        <f aca="false">A207+1</f>
        <v>203</v>
      </c>
      <c r="B208" s="35" t="s">
        <v>185</v>
      </c>
      <c r="C208" s="35" t="str">
        <f aca="false">"0020450"</f>
        <v>0020450</v>
      </c>
      <c r="D208" s="37" t="s">
        <v>113</v>
      </c>
      <c r="E208" s="35" t="n">
        <v>1979</v>
      </c>
      <c r="F208" s="38" t="n">
        <v>197</v>
      </c>
      <c r="G208" s="39" t="n">
        <v>1</v>
      </c>
      <c r="H208" s="40" t="n">
        <v>5</v>
      </c>
    </row>
    <row r="209" s="33" customFormat="true" ht="14.25" hidden="false" customHeight="false" outlineLevel="0" collapsed="false">
      <c r="A209" s="34" t="n">
        <f aca="false">A208+1</f>
        <v>204</v>
      </c>
      <c r="B209" s="35" t="s">
        <v>185</v>
      </c>
      <c r="C209" s="35" t="str">
        <f aca="false">"0020471"</f>
        <v>0020471</v>
      </c>
      <c r="D209" s="37" t="s">
        <v>42</v>
      </c>
      <c r="E209" s="35" t="n">
        <v>1979</v>
      </c>
      <c r="F209" s="38" t="n">
        <v>951.25</v>
      </c>
      <c r="G209" s="39" t="n">
        <v>1</v>
      </c>
      <c r="H209" s="40" t="n">
        <v>30</v>
      </c>
    </row>
    <row r="210" s="33" customFormat="true" ht="14.25" hidden="false" customHeight="false" outlineLevel="0" collapsed="false">
      <c r="A210" s="34" t="n">
        <f aca="false">A209+1</f>
        <v>205</v>
      </c>
      <c r="B210" s="35" t="s">
        <v>185</v>
      </c>
      <c r="C210" s="35" t="str">
        <f aca="false">"0020917"</f>
        <v>0020917</v>
      </c>
      <c r="D210" s="37" t="s">
        <v>191</v>
      </c>
      <c r="E210" s="35" t="n">
        <v>1979</v>
      </c>
      <c r="F210" s="38" t="n">
        <v>1317.12</v>
      </c>
      <c r="G210" s="39" t="n">
        <v>1</v>
      </c>
      <c r="H210" s="40" t="n">
        <v>50</v>
      </c>
    </row>
    <row r="211" s="33" customFormat="true" ht="14.25" hidden="false" customHeight="false" outlineLevel="0" collapsed="false">
      <c r="A211" s="34" t="n">
        <f aca="false">A210+1</f>
        <v>206</v>
      </c>
      <c r="B211" s="35" t="s">
        <v>185</v>
      </c>
      <c r="C211" s="35" t="str">
        <f aca="false">"0023803"</f>
        <v>0023803</v>
      </c>
      <c r="D211" s="37" t="s">
        <v>112</v>
      </c>
      <c r="E211" s="35" t="n">
        <v>1983</v>
      </c>
      <c r="F211" s="38" t="n">
        <v>360.24</v>
      </c>
      <c r="G211" s="39" t="n">
        <v>1</v>
      </c>
      <c r="H211" s="40" t="n">
        <v>15</v>
      </c>
    </row>
    <row r="212" s="33" customFormat="true" ht="14.25" hidden="false" customHeight="false" outlineLevel="0" collapsed="false">
      <c r="A212" s="34" t="n">
        <f aca="false">A211+1</f>
        <v>207</v>
      </c>
      <c r="B212" s="35" t="s">
        <v>185</v>
      </c>
      <c r="C212" s="35" t="str">
        <f aca="false">"0023816"</f>
        <v>0023816</v>
      </c>
      <c r="D212" s="37" t="s">
        <v>114</v>
      </c>
      <c r="E212" s="35" t="n">
        <v>1983</v>
      </c>
      <c r="F212" s="38" t="n">
        <v>529.1</v>
      </c>
      <c r="G212" s="39" t="n">
        <v>1</v>
      </c>
      <c r="H212" s="40" t="n">
        <v>20</v>
      </c>
    </row>
    <row r="213" s="33" customFormat="true" ht="14.25" hidden="false" customHeight="false" outlineLevel="0" collapsed="false">
      <c r="A213" s="34" t="n">
        <f aca="false">A212+1</f>
        <v>208</v>
      </c>
      <c r="B213" s="35" t="s">
        <v>185</v>
      </c>
      <c r="C213" s="35" t="str">
        <f aca="false">"0031290"</f>
        <v>0031290</v>
      </c>
      <c r="D213" s="37" t="s">
        <v>42</v>
      </c>
      <c r="E213" s="35" t="n">
        <v>1991</v>
      </c>
      <c r="F213" s="38" t="n">
        <v>1834.96</v>
      </c>
      <c r="G213" s="39" t="n">
        <v>1</v>
      </c>
      <c r="H213" s="40" t="n">
        <v>95</v>
      </c>
    </row>
    <row r="214" s="33" customFormat="true" ht="14.25" hidden="false" customHeight="false" outlineLevel="0" collapsed="false">
      <c r="A214" s="34" t="n">
        <f aca="false">A213+1</f>
        <v>209</v>
      </c>
      <c r="B214" s="35" t="s">
        <v>185</v>
      </c>
      <c r="C214" s="35" t="str">
        <f aca="false">"0033295"</f>
        <v>0033295</v>
      </c>
      <c r="D214" s="37" t="s">
        <v>192</v>
      </c>
      <c r="E214" s="35" t="n">
        <v>2003</v>
      </c>
      <c r="F214" s="38" t="n">
        <v>1141.58</v>
      </c>
      <c r="G214" s="39" t="n">
        <v>1</v>
      </c>
      <c r="H214" s="40" t="n">
        <v>70</v>
      </c>
    </row>
    <row r="215" s="33" customFormat="true" ht="14.25" hidden="false" customHeight="false" outlineLevel="0" collapsed="false">
      <c r="A215" s="34" t="n">
        <f aca="false">A214+1</f>
        <v>210</v>
      </c>
      <c r="B215" s="35" t="s">
        <v>185</v>
      </c>
      <c r="C215" s="35" t="str">
        <f aca="false">"0036643"</f>
        <v>0036643</v>
      </c>
      <c r="D215" s="37" t="s">
        <v>193</v>
      </c>
      <c r="E215" s="35" t="n">
        <v>2007</v>
      </c>
      <c r="F215" s="38" t="n">
        <v>1820</v>
      </c>
      <c r="G215" s="39" t="n">
        <v>1</v>
      </c>
      <c r="H215" s="40" t="n">
        <v>110</v>
      </c>
    </row>
    <row r="216" s="33" customFormat="true" ht="14.25" hidden="false" customHeight="false" outlineLevel="0" collapsed="false">
      <c r="A216" s="34" t="n">
        <f aca="false">A215+1</f>
        <v>211</v>
      </c>
      <c r="B216" s="35" t="s">
        <v>185</v>
      </c>
      <c r="C216" s="35" t="str">
        <f aca="false">"0041203"</f>
        <v>0041203</v>
      </c>
      <c r="D216" s="37" t="s">
        <v>194</v>
      </c>
      <c r="E216" s="35" t="n">
        <v>2011</v>
      </c>
      <c r="F216" s="38" t="n">
        <v>6934.09</v>
      </c>
      <c r="G216" s="39" t="n">
        <v>1</v>
      </c>
      <c r="H216" s="40" t="n">
        <v>580</v>
      </c>
    </row>
    <row r="217" s="33" customFormat="true" ht="14.25" hidden="false" customHeight="false" outlineLevel="0" collapsed="false">
      <c r="A217" s="34" t="n">
        <f aca="false">A216+1</f>
        <v>212</v>
      </c>
      <c r="B217" s="35" t="s">
        <v>185</v>
      </c>
      <c r="C217" s="35" t="str">
        <f aca="false">"0041485"</f>
        <v>0041485</v>
      </c>
      <c r="D217" s="37" t="s">
        <v>195</v>
      </c>
      <c r="E217" s="35" t="n">
        <v>2011</v>
      </c>
      <c r="F217" s="38" t="n">
        <v>2366.97</v>
      </c>
      <c r="G217" s="39" t="n">
        <v>1</v>
      </c>
      <c r="H217" s="40" t="n">
        <v>200</v>
      </c>
    </row>
    <row r="218" s="33" customFormat="true" ht="14.25" hidden="false" customHeight="false" outlineLevel="0" collapsed="false">
      <c r="A218" s="34" t="n">
        <f aca="false">A217+1</f>
        <v>213</v>
      </c>
      <c r="B218" s="35" t="s">
        <v>185</v>
      </c>
      <c r="C218" s="35" t="str">
        <f aca="false">"0042181"</f>
        <v>0042181</v>
      </c>
      <c r="D218" s="37" t="s">
        <v>196</v>
      </c>
      <c r="E218" s="35" t="n">
        <v>2012</v>
      </c>
      <c r="F218" s="38" t="n">
        <v>3813.95</v>
      </c>
      <c r="G218" s="39" t="n">
        <v>1</v>
      </c>
      <c r="H218" s="40" t="n">
        <v>350</v>
      </c>
    </row>
    <row r="219" s="33" customFormat="true" ht="14.25" hidden="false" customHeight="false" outlineLevel="0" collapsed="false">
      <c r="A219" s="34" t="n">
        <f aca="false">A218+1</f>
        <v>214</v>
      </c>
      <c r="B219" s="35" t="s">
        <v>185</v>
      </c>
      <c r="C219" s="35" t="str">
        <f aca="false">"0042791"</f>
        <v>0042791</v>
      </c>
      <c r="D219" s="37" t="s">
        <v>197</v>
      </c>
      <c r="E219" s="35" t="n">
        <v>2013</v>
      </c>
      <c r="F219" s="38" t="n">
        <v>11858</v>
      </c>
      <c r="G219" s="39" t="n">
        <v>1</v>
      </c>
      <c r="H219" s="40" t="n">
        <v>1215</v>
      </c>
    </row>
    <row r="220" s="33" customFormat="true" ht="14.25" hidden="false" customHeight="false" outlineLevel="0" collapsed="false">
      <c r="A220" s="34" t="n">
        <f aca="false">A219+1</f>
        <v>215</v>
      </c>
      <c r="B220" s="35" t="s">
        <v>185</v>
      </c>
      <c r="C220" s="35" t="str">
        <f aca="false">"0043721"</f>
        <v>0043721</v>
      </c>
      <c r="D220" s="37" t="s">
        <v>198</v>
      </c>
      <c r="E220" s="35" t="n">
        <v>2014</v>
      </c>
      <c r="F220" s="38" t="n">
        <v>1049</v>
      </c>
      <c r="G220" s="39" t="n">
        <v>3</v>
      </c>
      <c r="H220" s="40" t="n">
        <v>360</v>
      </c>
    </row>
    <row r="221" s="33" customFormat="true" ht="14.25" hidden="false" customHeight="false" outlineLevel="0" collapsed="false">
      <c r="A221" s="34" t="n">
        <f aca="false">A220+1</f>
        <v>216</v>
      </c>
      <c r="B221" s="35" t="s">
        <v>185</v>
      </c>
      <c r="C221" s="35" t="str">
        <f aca="false">"0044166"</f>
        <v>0044166</v>
      </c>
      <c r="D221" s="37" t="s">
        <v>199</v>
      </c>
      <c r="E221" s="35" t="n">
        <v>2014</v>
      </c>
      <c r="F221" s="38" t="n">
        <v>12034.56</v>
      </c>
      <c r="G221" s="39" t="n">
        <v>1</v>
      </c>
      <c r="H221" s="40" t="n">
        <v>1350</v>
      </c>
    </row>
    <row r="222" s="33" customFormat="true" ht="14.25" hidden="false" customHeight="false" outlineLevel="0" collapsed="false">
      <c r="A222" s="34" t="n">
        <f aca="false">A221+1</f>
        <v>217</v>
      </c>
      <c r="B222" s="35" t="s">
        <v>185</v>
      </c>
      <c r="C222" s="35" t="str">
        <f aca="false">"0044167"</f>
        <v>0044167</v>
      </c>
      <c r="D222" s="37" t="s">
        <v>200</v>
      </c>
      <c r="E222" s="35" t="n">
        <v>2014</v>
      </c>
      <c r="F222" s="38" t="n">
        <v>959</v>
      </c>
      <c r="G222" s="39" t="n">
        <v>1</v>
      </c>
      <c r="H222" s="40" t="n">
        <v>110</v>
      </c>
    </row>
    <row r="223" s="33" customFormat="true" ht="14.25" hidden="false" customHeight="false" outlineLevel="0" collapsed="false">
      <c r="A223" s="34" t="n">
        <f aca="false">A222+1</f>
        <v>218</v>
      </c>
      <c r="B223" s="35" t="s">
        <v>201</v>
      </c>
      <c r="C223" s="35" t="str">
        <f aca="false">"0008861"</f>
        <v>0008861</v>
      </c>
      <c r="D223" s="37" t="s">
        <v>191</v>
      </c>
      <c r="E223" s="35" t="n">
        <v>1987</v>
      </c>
      <c r="F223" s="38" t="n">
        <v>1795.56</v>
      </c>
      <c r="G223" s="39" t="n">
        <v>1</v>
      </c>
      <c r="H223" s="40" t="n">
        <v>90</v>
      </c>
    </row>
    <row r="224" s="33" customFormat="true" ht="14.25" hidden="false" customHeight="false" outlineLevel="0" collapsed="false">
      <c r="A224" s="34" t="n">
        <f aca="false">A223+1</f>
        <v>219</v>
      </c>
      <c r="B224" s="35" t="s">
        <v>201</v>
      </c>
      <c r="C224" s="35" t="str">
        <f aca="false">"0009321"</f>
        <v>0009321</v>
      </c>
      <c r="D224" s="37" t="s">
        <v>114</v>
      </c>
      <c r="E224" s="35" t="n">
        <v>1987</v>
      </c>
      <c r="F224" s="38" t="n">
        <v>33.77</v>
      </c>
      <c r="G224" s="39" t="n">
        <v>1</v>
      </c>
      <c r="H224" s="40" t="n">
        <v>5</v>
      </c>
    </row>
    <row r="225" s="33" customFormat="true" ht="14.25" hidden="false" customHeight="false" outlineLevel="0" collapsed="false">
      <c r="A225" s="34" t="n">
        <f aca="false">A224+1</f>
        <v>220</v>
      </c>
      <c r="B225" s="35" t="s">
        <v>201</v>
      </c>
      <c r="C225" s="35" t="str">
        <f aca="false">"0009803"</f>
        <v>0009803</v>
      </c>
      <c r="D225" s="37" t="s">
        <v>202</v>
      </c>
      <c r="E225" s="35" t="n">
        <v>1987</v>
      </c>
      <c r="F225" s="38" t="n">
        <v>9223.2</v>
      </c>
      <c r="G225" s="39" t="n">
        <v>1</v>
      </c>
      <c r="H225" s="40" t="n">
        <v>440</v>
      </c>
    </row>
    <row r="226" s="33" customFormat="true" ht="14.25" hidden="false" customHeight="false" outlineLevel="0" collapsed="false">
      <c r="A226" s="34" t="n">
        <f aca="false">A225+1</f>
        <v>221</v>
      </c>
      <c r="B226" s="35" t="s">
        <v>201</v>
      </c>
      <c r="C226" s="35" t="str">
        <f aca="false">"0010205"</f>
        <v>0010205</v>
      </c>
      <c r="D226" s="37" t="s">
        <v>203</v>
      </c>
      <c r="E226" s="35" t="n">
        <v>1987</v>
      </c>
      <c r="F226" s="38" t="n">
        <v>5022</v>
      </c>
      <c r="G226" s="39" t="n">
        <v>1</v>
      </c>
      <c r="H226" s="40" t="n">
        <v>240</v>
      </c>
    </row>
    <row r="227" s="33" customFormat="true" ht="14.25" hidden="false" customHeight="false" outlineLevel="0" collapsed="false">
      <c r="A227" s="34" t="n">
        <f aca="false">A226+1</f>
        <v>222</v>
      </c>
      <c r="B227" s="35" t="s">
        <v>201</v>
      </c>
      <c r="C227" s="35" t="str">
        <f aca="false">"0010621"</f>
        <v>0010621</v>
      </c>
      <c r="D227" s="37" t="s">
        <v>152</v>
      </c>
      <c r="E227" s="35" t="n">
        <v>1987</v>
      </c>
      <c r="F227" s="38" t="n">
        <v>5521.75</v>
      </c>
      <c r="G227" s="39" t="n">
        <v>1</v>
      </c>
      <c r="H227" s="40" t="n">
        <v>260</v>
      </c>
    </row>
    <row r="228" s="33" customFormat="true" ht="14.25" hidden="false" customHeight="false" outlineLevel="0" collapsed="false">
      <c r="A228" s="34" t="n">
        <f aca="false">A227+1</f>
        <v>223</v>
      </c>
      <c r="B228" s="35" t="s">
        <v>201</v>
      </c>
      <c r="C228" s="35" t="str">
        <f aca="false">"0012249"</f>
        <v>0012249</v>
      </c>
      <c r="D228" s="37" t="s">
        <v>204</v>
      </c>
      <c r="E228" s="35" t="n">
        <v>1987</v>
      </c>
      <c r="F228" s="38" t="n">
        <v>270.18</v>
      </c>
      <c r="G228" s="39" t="n">
        <v>6</v>
      </c>
      <c r="H228" s="44" t="s">
        <v>121</v>
      </c>
    </row>
    <row r="229" s="33" customFormat="true" ht="14.25" hidden="false" customHeight="false" outlineLevel="0" collapsed="false">
      <c r="A229" s="34" t="n">
        <f aca="false">A228+1</f>
        <v>224</v>
      </c>
      <c r="B229" s="35" t="s">
        <v>201</v>
      </c>
      <c r="C229" s="35" t="str">
        <f aca="false">"0012600"</f>
        <v>0012600</v>
      </c>
      <c r="D229" s="37" t="s">
        <v>205</v>
      </c>
      <c r="E229" s="35" t="n">
        <v>1987</v>
      </c>
      <c r="F229" s="38" t="n">
        <v>168.86</v>
      </c>
      <c r="G229" s="39" t="n">
        <v>2</v>
      </c>
      <c r="H229" s="40" t="n">
        <v>20</v>
      </c>
    </row>
    <row r="230" s="33" customFormat="true" ht="14.25" hidden="false" customHeight="false" outlineLevel="0" collapsed="false">
      <c r="A230" s="34" t="n">
        <f aca="false">A229+1</f>
        <v>225</v>
      </c>
      <c r="B230" s="35" t="s">
        <v>201</v>
      </c>
      <c r="C230" s="35" t="str">
        <f aca="false">"0012603"</f>
        <v>0012603</v>
      </c>
      <c r="D230" s="37" t="s">
        <v>206</v>
      </c>
      <c r="E230" s="35" t="n">
        <v>1987</v>
      </c>
      <c r="F230" s="38" t="n">
        <v>168.86</v>
      </c>
      <c r="G230" s="39" t="n">
        <v>18</v>
      </c>
      <c r="H230" s="40" t="n">
        <v>180</v>
      </c>
    </row>
    <row r="231" s="33" customFormat="true" ht="14.25" hidden="false" customHeight="false" outlineLevel="0" collapsed="false">
      <c r="A231" s="34" t="n">
        <f aca="false">A230+1</f>
        <v>226</v>
      </c>
      <c r="B231" s="35" t="s">
        <v>201</v>
      </c>
      <c r="C231" s="35" t="str">
        <f aca="false">"0012658"</f>
        <v>0012658</v>
      </c>
      <c r="D231" s="37" t="s">
        <v>207</v>
      </c>
      <c r="E231" s="35" t="n">
        <v>2002</v>
      </c>
      <c r="F231" s="38" t="n">
        <v>17741</v>
      </c>
      <c r="G231" s="39" t="n">
        <v>1</v>
      </c>
      <c r="H231" s="40" t="n">
        <v>1020</v>
      </c>
    </row>
    <row r="232" s="33" customFormat="true" ht="14.25" hidden="false" customHeight="false" outlineLevel="0" collapsed="false">
      <c r="A232" s="45" t="n">
        <f aca="false">A231+1</f>
        <v>227</v>
      </c>
      <c r="B232" s="35" t="s">
        <v>201</v>
      </c>
      <c r="C232" s="35" t="str">
        <f aca="false">"0014142"</f>
        <v>0014142</v>
      </c>
      <c r="D232" s="37" t="s">
        <v>208</v>
      </c>
      <c r="E232" s="35" t="n">
        <v>2004</v>
      </c>
      <c r="F232" s="38" t="n">
        <v>22174</v>
      </c>
      <c r="G232" s="39" t="n">
        <v>1</v>
      </c>
      <c r="H232" s="40" t="n">
        <v>1380</v>
      </c>
    </row>
    <row r="233" s="33" customFormat="true" ht="14.25" hidden="false" customHeight="false" outlineLevel="0" collapsed="false">
      <c r="A233" s="34" t="n">
        <f aca="false">A232+1</f>
        <v>228</v>
      </c>
      <c r="B233" s="35" t="s">
        <v>201</v>
      </c>
      <c r="C233" s="35" t="str">
        <f aca="false">"0014229"</f>
        <v>0014229</v>
      </c>
      <c r="D233" s="37" t="s">
        <v>209</v>
      </c>
      <c r="E233" s="35" t="n">
        <v>2004</v>
      </c>
      <c r="F233" s="38" t="n">
        <v>4699</v>
      </c>
      <c r="G233" s="39" t="n">
        <v>1</v>
      </c>
      <c r="H233" s="40" t="n">
        <v>280</v>
      </c>
    </row>
    <row r="234" s="33" customFormat="true" ht="14.25" hidden="false" customHeight="false" outlineLevel="0" collapsed="false">
      <c r="A234" s="34" t="n">
        <f aca="false">A233+1</f>
        <v>229</v>
      </c>
      <c r="B234" s="35" t="s">
        <v>201</v>
      </c>
      <c r="C234" s="35" t="str">
        <f aca="false">"0014260"</f>
        <v>0014260</v>
      </c>
      <c r="D234" s="37" t="s">
        <v>210</v>
      </c>
      <c r="E234" s="35" t="n">
        <v>2004</v>
      </c>
      <c r="F234" s="38" t="n">
        <v>9027</v>
      </c>
      <c r="G234" s="39" t="n">
        <v>1</v>
      </c>
      <c r="H234" s="40" t="n">
        <v>530</v>
      </c>
    </row>
    <row r="235" s="33" customFormat="true" ht="14.25" hidden="false" customHeight="false" outlineLevel="0" collapsed="false">
      <c r="A235" s="34" t="n">
        <f aca="false">A234+1</f>
        <v>230</v>
      </c>
      <c r="B235" s="35" t="s">
        <v>201</v>
      </c>
      <c r="C235" s="35" t="str">
        <f aca="false">"0014954"</f>
        <v>0014954</v>
      </c>
      <c r="D235" s="37" t="s">
        <v>211</v>
      </c>
      <c r="E235" s="35" t="n">
        <v>2005</v>
      </c>
      <c r="F235" s="38" t="n">
        <v>1520</v>
      </c>
      <c r="G235" s="39" t="n">
        <v>1</v>
      </c>
      <c r="H235" s="40" t="n">
        <v>90</v>
      </c>
    </row>
    <row r="236" s="33" customFormat="true" ht="14.25" hidden="false" customHeight="false" outlineLevel="0" collapsed="false">
      <c r="A236" s="34" t="n">
        <f aca="false">A235+1</f>
        <v>231</v>
      </c>
      <c r="B236" s="35" t="s">
        <v>201</v>
      </c>
      <c r="C236" s="35" t="str">
        <f aca="false">"0015190"</f>
        <v>0015190</v>
      </c>
      <c r="D236" s="37" t="s">
        <v>212</v>
      </c>
      <c r="E236" s="35" t="n">
        <v>2005</v>
      </c>
      <c r="F236" s="38" t="n">
        <v>2290</v>
      </c>
      <c r="G236" s="39" t="n">
        <v>1</v>
      </c>
      <c r="H236" s="40" t="n">
        <v>140</v>
      </c>
    </row>
    <row r="237" s="33" customFormat="true" ht="14.25" hidden="false" customHeight="false" outlineLevel="0" collapsed="false">
      <c r="A237" s="34" t="n">
        <f aca="false">A236+1</f>
        <v>232</v>
      </c>
      <c r="B237" s="35" t="s">
        <v>201</v>
      </c>
      <c r="C237" s="35" t="str">
        <f aca="false">"0015308"</f>
        <v>0015308</v>
      </c>
      <c r="D237" s="37" t="s">
        <v>213</v>
      </c>
      <c r="E237" s="35" t="n">
        <v>2005</v>
      </c>
      <c r="F237" s="38" t="n">
        <v>2080</v>
      </c>
      <c r="G237" s="39" t="n">
        <v>1</v>
      </c>
      <c r="H237" s="40" t="n">
        <v>125</v>
      </c>
    </row>
    <row r="238" s="33" customFormat="true" ht="14.25" hidden="false" customHeight="false" outlineLevel="0" collapsed="false">
      <c r="A238" s="34" t="n">
        <f aca="false">A237+1</f>
        <v>233</v>
      </c>
      <c r="B238" s="35" t="s">
        <v>201</v>
      </c>
      <c r="C238" s="35" t="str">
        <f aca="false">"0015526"</f>
        <v>0015526</v>
      </c>
      <c r="D238" s="37" t="s">
        <v>214</v>
      </c>
      <c r="E238" s="35" t="n">
        <v>2006</v>
      </c>
      <c r="F238" s="38" t="n">
        <v>9004</v>
      </c>
      <c r="G238" s="39" t="n">
        <v>1</v>
      </c>
      <c r="H238" s="40" t="n">
        <v>570</v>
      </c>
    </row>
    <row r="239" s="33" customFormat="true" ht="14.25" hidden="false" customHeight="false" outlineLevel="0" collapsed="false">
      <c r="A239" s="34" t="n">
        <f aca="false">A238+1</f>
        <v>234</v>
      </c>
      <c r="B239" s="35" t="s">
        <v>201</v>
      </c>
      <c r="C239" s="35" t="str">
        <f aca="false">"0016279"</f>
        <v>0016279</v>
      </c>
      <c r="D239" s="37" t="s">
        <v>215</v>
      </c>
      <c r="E239" s="35" t="n">
        <v>2006</v>
      </c>
      <c r="F239" s="38" t="n">
        <v>1530</v>
      </c>
      <c r="G239" s="39" t="n">
        <v>1</v>
      </c>
      <c r="H239" s="40" t="n">
        <v>90</v>
      </c>
    </row>
    <row r="240" s="33" customFormat="true" ht="14.25" hidden="false" customHeight="false" outlineLevel="0" collapsed="false">
      <c r="A240" s="34" t="n">
        <f aca="false">A239+1</f>
        <v>235</v>
      </c>
      <c r="B240" s="35" t="s">
        <v>201</v>
      </c>
      <c r="C240" s="35" t="str">
        <f aca="false">"0018135"</f>
        <v>0018135</v>
      </c>
      <c r="D240" s="37" t="s">
        <v>42</v>
      </c>
      <c r="E240" s="35" t="n">
        <v>1987</v>
      </c>
      <c r="F240" s="38" t="n">
        <v>168.86</v>
      </c>
      <c r="G240" s="39" t="n">
        <v>1</v>
      </c>
      <c r="H240" s="40" t="n">
        <v>5</v>
      </c>
    </row>
    <row r="241" s="33" customFormat="true" ht="14.25" hidden="false" customHeight="false" outlineLevel="0" collapsed="false">
      <c r="A241" s="34" t="n">
        <f aca="false">A240+1</f>
        <v>236</v>
      </c>
      <c r="B241" s="35" t="s">
        <v>201</v>
      </c>
      <c r="C241" s="35" t="str">
        <f aca="false">"0019751"</f>
        <v>0019751</v>
      </c>
      <c r="D241" s="37" t="s">
        <v>114</v>
      </c>
      <c r="E241" s="35" t="n">
        <v>1978</v>
      </c>
      <c r="F241" s="38" t="n">
        <v>118.2</v>
      </c>
      <c r="G241" s="39" t="n">
        <v>2</v>
      </c>
      <c r="H241" s="40" t="n">
        <v>10</v>
      </c>
    </row>
    <row r="242" s="33" customFormat="true" ht="14.25" hidden="false" customHeight="false" outlineLevel="0" collapsed="false">
      <c r="A242" s="34" t="n">
        <f aca="false">A241+1</f>
        <v>237</v>
      </c>
      <c r="B242" s="35" t="s">
        <v>201</v>
      </c>
      <c r="C242" s="35" t="str">
        <f aca="false">"0019756"</f>
        <v>0019756</v>
      </c>
      <c r="D242" s="37" t="s">
        <v>114</v>
      </c>
      <c r="E242" s="35" t="n">
        <v>1978</v>
      </c>
      <c r="F242" s="38" t="n">
        <v>56.29</v>
      </c>
      <c r="G242" s="39" t="n">
        <v>2</v>
      </c>
      <c r="H242" s="40" t="n">
        <v>10</v>
      </c>
    </row>
    <row r="243" s="33" customFormat="true" ht="14.25" hidden="false" customHeight="false" outlineLevel="0" collapsed="false">
      <c r="A243" s="34" t="n">
        <f aca="false">A242+1</f>
        <v>238</v>
      </c>
      <c r="B243" s="35" t="s">
        <v>201</v>
      </c>
      <c r="C243" s="35" t="str">
        <f aca="false">"0019775"</f>
        <v>0019775</v>
      </c>
      <c r="D243" s="37" t="s">
        <v>112</v>
      </c>
      <c r="E243" s="35" t="n">
        <v>1978</v>
      </c>
      <c r="F243" s="38" t="n">
        <v>50.66</v>
      </c>
      <c r="G243" s="39" t="n">
        <v>3</v>
      </c>
      <c r="H243" s="40" t="n">
        <v>15</v>
      </c>
    </row>
    <row r="244" s="33" customFormat="true" ht="14.25" hidden="false" customHeight="false" outlineLevel="0" collapsed="false">
      <c r="A244" s="34" t="n">
        <f aca="false">A243+1</f>
        <v>239</v>
      </c>
      <c r="B244" s="35" t="s">
        <v>201</v>
      </c>
      <c r="C244" s="35" t="str">
        <f aca="false">"0020401"</f>
        <v>0020401</v>
      </c>
      <c r="D244" s="37" t="s">
        <v>139</v>
      </c>
      <c r="E244" s="35" t="n">
        <v>1979</v>
      </c>
      <c r="F244" s="38" t="n">
        <v>1052.57</v>
      </c>
      <c r="G244" s="39" t="n">
        <v>19</v>
      </c>
      <c r="H244" s="40" t="n">
        <v>760</v>
      </c>
    </row>
    <row r="245" s="33" customFormat="true" ht="14.25" hidden="false" customHeight="false" outlineLevel="0" collapsed="false">
      <c r="A245" s="34" t="n">
        <f aca="false">A244+1</f>
        <v>240</v>
      </c>
      <c r="B245" s="35" t="s">
        <v>201</v>
      </c>
      <c r="C245" s="35" t="str">
        <f aca="false">"0020445"</f>
        <v>0020445</v>
      </c>
      <c r="D245" s="37" t="s">
        <v>113</v>
      </c>
      <c r="E245" s="35" t="n">
        <v>1979</v>
      </c>
      <c r="F245" s="38" t="n">
        <v>197</v>
      </c>
      <c r="G245" s="39" t="n">
        <v>5</v>
      </c>
      <c r="H245" s="40" t="n">
        <v>25</v>
      </c>
    </row>
    <row r="246" s="33" customFormat="true" ht="14.25" hidden="false" customHeight="false" outlineLevel="0" collapsed="false">
      <c r="A246" s="34" t="n">
        <f aca="false">A245+1</f>
        <v>241</v>
      </c>
      <c r="B246" s="35" t="s">
        <v>201</v>
      </c>
      <c r="C246" s="35" t="str">
        <f aca="false">"0020492"</f>
        <v>0020492</v>
      </c>
      <c r="D246" s="37" t="s">
        <v>42</v>
      </c>
      <c r="E246" s="35" t="n">
        <v>1979</v>
      </c>
      <c r="F246" s="38" t="n">
        <v>3968.23</v>
      </c>
      <c r="G246" s="39" t="n">
        <v>6</v>
      </c>
      <c r="H246" s="40" t="n">
        <v>960</v>
      </c>
    </row>
    <row r="247" s="33" customFormat="true" ht="14.25" hidden="false" customHeight="false" outlineLevel="0" collapsed="false">
      <c r="A247" s="34" t="n">
        <f aca="false">A246+1</f>
        <v>242</v>
      </c>
      <c r="B247" s="35" t="s">
        <v>201</v>
      </c>
      <c r="C247" s="35" t="str">
        <f aca="false">"0020501"</f>
        <v>0020501</v>
      </c>
      <c r="D247" s="37" t="s">
        <v>42</v>
      </c>
      <c r="E247" s="35" t="n">
        <v>1979</v>
      </c>
      <c r="F247" s="38" t="n">
        <v>264.55</v>
      </c>
      <c r="G247" s="39" t="n">
        <v>1</v>
      </c>
      <c r="H247" s="40" t="n">
        <v>10</v>
      </c>
    </row>
    <row r="248" s="33" customFormat="true" ht="14.25" hidden="false" customHeight="false" outlineLevel="0" collapsed="false">
      <c r="A248" s="34" t="n">
        <f aca="false">A247+1</f>
        <v>243</v>
      </c>
      <c r="B248" s="35" t="s">
        <v>201</v>
      </c>
      <c r="C248" s="35" t="str">
        <f aca="false">"0020912"</f>
        <v>0020912</v>
      </c>
      <c r="D248" s="37" t="s">
        <v>191</v>
      </c>
      <c r="E248" s="35" t="n">
        <v>1979</v>
      </c>
      <c r="F248" s="38" t="n">
        <v>1317.12</v>
      </c>
      <c r="G248" s="39" t="n">
        <v>8</v>
      </c>
      <c r="H248" s="40" t="n">
        <v>400</v>
      </c>
    </row>
    <row r="249" s="33" customFormat="true" ht="14.25" hidden="false" customHeight="false" outlineLevel="0" collapsed="false">
      <c r="A249" s="34" t="n">
        <f aca="false">A248+1</f>
        <v>244</v>
      </c>
      <c r="B249" s="35" t="s">
        <v>201</v>
      </c>
      <c r="C249" s="35" t="str">
        <f aca="false">"0021263"</f>
        <v>0021263</v>
      </c>
      <c r="D249" s="37" t="s">
        <v>216</v>
      </c>
      <c r="E249" s="35" t="n">
        <v>1979</v>
      </c>
      <c r="F249" s="38" t="n">
        <v>3304.05</v>
      </c>
      <c r="G249" s="39" t="n">
        <v>10</v>
      </c>
      <c r="H249" s="40" t="n">
        <v>1300</v>
      </c>
    </row>
    <row r="250" s="33" customFormat="true" ht="14.25" hidden="false" customHeight="false" outlineLevel="0" collapsed="false">
      <c r="A250" s="34" t="n">
        <f aca="false">A249+1</f>
        <v>245</v>
      </c>
      <c r="B250" s="35" t="s">
        <v>201</v>
      </c>
      <c r="C250" s="35" t="str">
        <f aca="false">"0021558"</f>
        <v>0021558</v>
      </c>
      <c r="D250" s="37" t="s">
        <v>216</v>
      </c>
      <c r="E250" s="35" t="n">
        <v>1983</v>
      </c>
      <c r="F250" s="38" t="n">
        <v>270.18</v>
      </c>
      <c r="G250" s="39" t="n">
        <v>16</v>
      </c>
      <c r="H250" s="40" t="n">
        <v>240</v>
      </c>
    </row>
    <row r="251" s="33" customFormat="true" ht="14.25" hidden="false" customHeight="false" outlineLevel="0" collapsed="false">
      <c r="A251" s="34" t="n">
        <f aca="false">A250+1</f>
        <v>246</v>
      </c>
      <c r="B251" s="35" t="s">
        <v>201</v>
      </c>
      <c r="C251" s="35" t="str">
        <f aca="false">"0021626"</f>
        <v>0021626</v>
      </c>
      <c r="D251" s="37" t="s">
        <v>112</v>
      </c>
      <c r="E251" s="35" t="n">
        <v>1980</v>
      </c>
      <c r="F251" s="38" t="n">
        <v>658.56</v>
      </c>
      <c r="G251" s="39" t="n">
        <v>3</v>
      </c>
      <c r="H251" s="40" t="n">
        <v>90</v>
      </c>
    </row>
    <row r="252" s="33" customFormat="true" ht="14.25" hidden="false" customHeight="false" outlineLevel="0" collapsed="false">
      <c r="A252" s="34" t="n">
        <f aca="false">A251+1</f>
        <v>247</v>
      </c>
      <c r="B252" s="35" t="s">
        <v>201</v>
      </c>
      <c r="C252" s="35" t="str">
        <f aca="false">"0024448"</f>
        <v>0024448</v>
      </c>
      <c r="D252" s="37" t="s">
        <v>216</v>
      </c>
      <c r="E252" s="35" t="n">
        <v>1984</v>
      </c>
      <c r="F252" s="38" t="n">
        <v>3168.96</v>
      </c>
      <c r="G252" s="39" t="n">
        <v>1</v>
      </c>
      <c r="H252" s="40" t="n">
        <v>140</v>
      </c>
    </row>
    <row r="253" s="33" customFormat="true" ht="14.25" hidden="false" customHeight="false" outlineLevel="0" collapsed="false">
      <c r="A253" s="34" t="n">
        <f aca="false">A252+1</f>
        <v>248</v>
      </c>
      <c r="B253" s="35" t="s">
        <v>201</v>
      </c>
      <c r="C253" s="35" t="str">
        <f aca="false">"0027042"</f>
        <v>0027042</v>
      </c>
      <c r="D253" s="37" t="s">
        <v>216</v>
      </c>
      <c r="E253" s="35" t="n">
        <v>1985</v>
      </c>
      <c r="F253" s="38" t="n">
        <v>3304.05</v>
      </c>
      <c r="G253" s="39" t="n">
        <v>18</v>
      </c>
      <c r="H253" s="40" t="n">
        <v>2340</v>
      </c>
    </row>
    <row r="254" s="33" customFormat="true" ht="14.25" hidden="false" customHeight="false" outlineLevel="0" collapsed="false">
      <c r="A254" s="34" t="n">
        <f aca="false">A253+1</f>
        <v>249</v>
      </c>
      <c r="B254" s="35" t="s">
        <v>201</v>
      </c>
      <c r="C254" s="35" t="str">
        <f aca="false">"0028456"</f>
        <v>0028456</v>
      </c>
      <c r="D254" s="37" t="s">
        <v>217</v>
      </c>
      <c r="E254" s="35" t="n">
        <v>1987</v>
      </c>
      <c r="F254" s="38" t="n">
        <v>1975.67</v>
      </c>
      <c r="G254" s="39" t="n">
        <v>1</v>
      </c>
      <c r="H254" s="40" t="n">
        <v>90</v>
      </c>
    </row>
    <row r="255" s="33" customFormat="true" ht="14.25" hidden="false" customHeight="false" outlineLevel="0" collapsed="false">
      <c r="A255" s="34" t="n">
        <f aca="false">A254+1</f>
        <v>250</v>
      </c>
      <c r="B255" s="35" t="s">
        <v>201</v>
      </c>
      <c r="C255" s="35" t="str">
        <f aca="false">"0029920"</f>
        <v>0029920</v>
      </c>
      <c r="D255" s="37" t="s">
        <v>42</v>
      </c>
      <c r="E255" s="35" t="n">
        <v>1989</v>
      </c>
      <c r="F255" s="38" t="n">
        <v>2257.11</v>
      </c>
      <c r="G255" s="39" t="n">
        <v>1</v>
      </c>
      <c r="H255" s="40" t="n">
        <v>100</v>
      </c>
    </row>
    <row r="256" s="33" customFormat="true" ht="14.25" hidden="false" customHeight="false" outlineLevel="0" collapsed="false">
      <c r="A256" s="34" t="n">
        <f aca="false">A255+1</f>
        <v>251</v>
      </c>
      <c r="B256" s="35" t="s">
        <v>201</v>
      </c>
      <c r="C256" s="35" t="str">
        <f aca="false">"0033361"</f>
        <v>0033361</v>
      </c>
      <c r="D256" s="37" t="s">
        <v>218</v>
      </c>
      <c r="E256" s="35" t="n">
        <v>2003</v>
      </c>
      <c r="F256" s="38" t="n">
        <v>302.87</v>
      </c>
      <c r="G256" s="39" t="n">
        <v>1</v>
      </c>
      <c r="H256" s="44" t="s">
        <v>121</v>
      </c>
    </row>
    <row r="257" s="33" customFormat="true" ht="14.25" hidden="false" customHeight="false" outlineLevel="0" collapsed="false">
      <c r="A257" s="34" t="n">
        <f aca="false">A256+1</f>
        <v>252</v>
      </c>
      <c r="B257" s="35" t="s">
        <v>201</v>
      </c>
      <c r="C257" s="35" t="str">
        <f aca="false">"0033414"</f>
        <v>0033414</v>
      </c>
      <c r="D257" s="37" t="s">
        <v>219</v>
      </c>
      <c r="E257" s="35" t="n">
        <v>2003</v>
      </c>
      <c r="F257" s="38" t="n">
        <v>50</v>
      </c>
      <c r="G257" s="39" t="n">
        <v>1</v>
      </c>
      <c r="H257" s="40" t="n">
        <v>5</v>
      </c>
    </row>
    <row r="258" s="33" customFormat="true" ht="14.25" hidden="false" customHeight="false" outlineLevel="0" collapsed="false">
      <c r="A258" s="34" t="n">
        <f aca="false">A257+1</f>
        <v>253</v>
      </c>
      <c r="B258" s="35" t="s">
        <v>201</v>
      </c>
      <c r="C258" s="35" t="str">
        <f aca="false">"0034163"</f>
        <v>0034163</v>
      </c>
      <c r="D258" s="37" t="s">
        <v>220</v>
      </c>
      <c r="E258" s="35" t="n">
        <v>2005</v>
      </c>
      <c r="F258" s="38" t="n">
        <v>202.5</v>
      </c>
      <c r="G258" s="39" t="n">
        <v>4</v>
      </c>
      <c r="H258" s="40" t="n">
        <v>60</v>
      </c>
    </row>
    <row r="259" s="33" customFormat="true" ht="14.25" hidden="false" customHeight="false" outlineLevel="0" collapsed="false">
      <c r="A259" s="34" t="n">
        <f aca="false">A258+1</f>
        <v>254</v>
      </c>
      <c r="B259" s="35" t="s">
        <v>201</v>
      </c>
      <c r="C259" s="35" t="str">
        <f aca="false">"0034870"</f>
        <v>0034870</v>
      </c>
      <c r="D259" s="37" t="s">
        <v>221</v>
      </c>
      <c r="E259" s="35" t="n">
        <v>2006</v>
      </c>
      <c r="F259" s="38" t="n">
        <v>1885</v>
      </c>
      <c r="G259" s="39" t="n">
        <v>1</v>
      </c>
      <c r="H259" s="40" t="n">
        <v>115</v>
      </c>
    </row>
    <row r="260" s="33" customFormat="true" ht="14.25" hidden="false" customHeight="false" outlineLevel="0" collapsed="false">
      <c r="A260" s="34" t="n">
        <f aca="false">A259+1</f>
        <v>255</v>
      </c>
      <c r="B260" s="35" t="s">
        <v>201</v>
      </c>
      <c r="C260" s="35" t="str">
        <f aca="false">"0035193"</f>
        <v>0035193</v>
      </c>
      <c r="D260" s="37" t="s">
        <v>222</v>
      </c>
      <c r="E260" s="35" t="n">
        <v>2007</v>
      </c>
      <c r="F260" s="38" t="n">
        <v>551.25</v>
      </c>
      <c r="G260" s="39" t="n">
        <v>1</v>
      </c>
      <c r="H260" s="40" t="n">
        <v>50</v>
      </c>
    </row>
    <row r="261" s="33" customFormat="true" ht="14.25" hidden="false" customHeight="false" outlineLevel="0" collapsed="false">
      <c r="A261" s="34" t="n">
        <f aca="false">A260+1</f>
        <v>256</v>
      </c>
      <c r="B261" s="35" t="s">
        <v>201</v>
      </c>
      <c r="C261" s="35" t="str">
        <f aca="false">"0035238"</f>
        <v>0035238</v>
      </c>
      <c r="D261" s="37" t="s">
        <v>223</v>
      </c>
      <c r="E261" s="35" t="n">
        <v>2007</v>
      </c>
      <c r="F261" s="38" t="n">
        <v>1865</v>
      </c>
      <c r="G261" s="39" t="n">
        <v>1</v>
      </c>
      <c r="H261" s="40" t="n">
        <v>115</v>
      </c>
    </row>
    <row r="262" s="33" customFormat="true" ht="14.25" hidden="false" customHeight="false" outlineLevel="0" collapsed="false">
      <c r="A262" s="34" t="n">
        <f aca="false">A261+1</f>
        <v>257</v>
      </c>
      <c r="B262" s="35" t="s">
        <v>201</v>
      </c>
      <c r="C262" s="35" t="str">
        <f aca="false">"0035552"</f>
        <v>0035552</v>
      </c>
      <c r="D262" s="37" t="s">
        <v>224</v>
      </c>
      <c r="E262" s="35" t="n">
        <v>2007</v>
      </c>
      <c r="F262" s="38" t="n">
        <v>1350</v>
      </c>
      <c r="G262" s="39" t="n">
        <v>1</v>
      </c>
      <c r="H262" s="40" t="n">
        <v>125</v>
      </c>
    </row>
    <row r="263" s="33" customFormat="true" ht="14.25" hidden="false" customHeight="false" outlineLevel="0" collapsed="false">
      <c r="A263" s="34" t="n">
        <f aca="false">A262+1</f>
        <v>258</v>
      </c>
      <c r="B263" s="35" t="s">
        <v>201</v>
      </c>
      <c r="C263" s="35" t="str">
        <f aca="false">"0036642"</f>
        <v>0036642</v>
      </c>
      <c r="D263" s="37" t="s">
        <v>225</v>
      </c>
      <c r="E263" s="35" t="n">
        <v>2007</v>
      </c>
      <c r="F263" s="38" t="n">
        <v>1770</v>
      </c>
      <c r="G263" s="39" t="n">
        <v>1</v>
      </c>
      <c r="H263" s="40" t="n">
        <v>110</v>
      </c>
    </row>
    <row r="264" s="33" customFormat="true" ht="14.25" hidden="false" customHeight="false" outlineLevel="0" collapsed="false">
      <c r="A264" s="34" t="n">
        <f aca="false">A263+1</f>
        <v>259</v>
      </c>
      <c r="B264" s="35" t="s">
        <v>201</v>
      </c>
      <c r="C264" s="35" t="str">
        <f aca="false">"0037284"</f>
        <v>0037284</v>
      </c>
      <c r="D264" s="37" t="s">
        <v>226</v>
      </c>
      <c r="E264" s="35" t="n">
        <v>2008</v>
      </c>
      <c r="F264" s="38" t="n">
        <v>7540</v>
      </c>
      <c r="G264" s="39" t="n">
        <v>2</v>
      </c>
      <c r="H264" s="40" t="n">
        <v>1500</v>
      </c>
    </row>
    <row r="265" s="33" customFormat="true" ht="14.25" hidden="false" customHeight="false" outlineLevel="0" collapsed="false">
      <c r="A265" s="34" t="n">
        <f aca="false">A264+1</f>
        <v>260</v>
      </c>
      <c r="B265" s="35" t="s">
        <v>201</v>
      </c>
      <c r="C265" s="35" t="str">
        <f aca="false">"0039476"</f>
        <v>0039476</v>
      </c>
      <c r="D265" s="37" t="s">
        <v>227</v>
      </c>
      <c r="E265" s="35" t="n">
        <v>2009</v>
      </c>
      <c r="F265" s="38" t="n">
        <v>17399</v>
      </c>
      <c r="G265" s="39" t="n">
        <v>1</v>
      </c>
      <c r="H265" s="40" t="n">
        <v>1620</v>
      </c>
    </row>
    <row r="266" s="33" customFormat="true" ht="14.25" hidden="false" customHeight="false" outlineLevel="0" collapsed="false">
      <c r="A266" s="34" t="n">
        <f aca="false">A265+1</f>
        <v>261</v>
      </c>
      <c r="B266" s="35" t="s">
        <v>201</v>
      </c>
      <c r="C266" s="35" t="str">
        <f aca="false">"0040835"</f>
        <v>0040835</v>
      </c>
      <c r="D266" s="37" t="s">
        <v>228</v>
      </c>
      <c r="E266" s="35" t="n">
        <v>2010</v>
      </c>
      <c r="F266" s="38" t="n">
        <v>11321.1</v>
      </c>
      <c r="G266" s="39" t="n">
        <v>1</v>
      </c>
      <c r="H266" s="40" t="n">
        <v>1160</v>
      </c>
    </row>
    <row r="267" s="33" customFormat="true" ht="14.25" hidden="false" customHeight="false" outlineLevel="0" collapsed="false">
      <c r="A267" s="34" t="n">
        <f aca="false">A266+1</f>
        <v>262</v>
      </c>
      <c r="B267" s="35" t="s">
        <v>201</v>
      </c>
      <c r="C267" s="35" t="str">
        <f aca="false">"0041467"</f>
        <v>0041467</v>
      </c>
      <c r="D267" s="37" t="s">
        <v>229</v>
      </c>
      <c r="E267" s="35" t="n">
        <v>2011</v>
      </c>
      <c r="F267" s="38" t="n">
        <v>9241.22</v>
      </c>
      <c r="G267" s="39" t="n">
        <v>2</v>
      </c>
      <c r="H267" s="40" t="n">
        <v>2660</v>
      </c>
    </row>
    <row r="268" s="33" customFormat="true" ht="14.25" hidden="false" customHeight="false" outlineLevel="0" collapsed="false">
      <c r="A268" s="34" t="n">
        <f aca="false">A267+1</f>
        <v>263</v>
      </c>
      <c r="B268" s="35" t="s">
        <v>201</v>
      </c>
      <c r="C268" s="35" t="str">
        <f aca="false">"0041486"</f>
        <v>0041486</v>
      </c>
      <c r="D268" s="37" t="s">
        <v>230</v>
      </c>
      <c r="E268" s="35" t="n">
        <v>2011</v>
      </c>
      <c r="F268" s="38" t="n">
        <v>3778.97</v>
      </c>
      <c r="G268" s="39" t="n">
        <v>1</v>
      </c>
      <c r="H268" s="40" t="n">
        <v>540</v>
      </c>
    </row>
    <row r="269" s="33" customFormat="true" ht="14.25" hidden="false" customHeight="false" outlineLevel="0" collapsed="false">
      <c r="A269" s="34" t="n">
        <f aca="false">A268+1</f>
        <v>264</v>
      </c>
      <c r="B269" s="35" t="s">
        <v>201</v>
      </c>
      <c r="C269" s="35" t="str">
        <f aca="false">"0041953"</f>
        <v>0041953</v>
      </c>
      <c r="D269" s="37" t="s">
        <v>231</v>
      </c>
      <c r="E269" s="35" t="n">
        <v>2012</v>
      </c>
      <c r="F269" s="38" t="n">
        <v>8620.2</v>
      </c>
      <c r="G269" s="39" t="n">
        <v>1</v>
      </c>
      <c r="H269" s="40" t="n">
        <v>1300</v>
      </c>
    </row>
    <row r="270" s="33" customFormat="true" ht="14.25" hidden="false" customHeight="false" outlineLevel="0" collapsed="false">
      <c r="A270" s="34" t="n">
        <f aca="false">A269+1</f>
        <v>265</v>
      </c>
      <c r="B270" s="35" t="s">
        <v>201</v>
      </c>
      <c r="C270" s="35" t="str">
        <f aca="false">"0042134"</f>
        <v>0042134</v>
      </c>
      <c r="D270" s="37" t="s">
        <v>232</v>
      </c>
      <c r="E270" s="35" t="n">
        <v>2012</v>
      </c>
      <c r="F270" s="38" t="n">
        <v>1139</v>
      </c>
      <c r="G270" s="39" t="n">
        <v>1</v>
      </c>
      <c r="H270" s="40" t="n">
        <v>100</v>
      </c>
    </row>
    <row r="271" s="33" customFormat="true" ht="14.25" hidden="false" customHeight="false" outlineLevel="0" collapsed="false">
      <c r="A271" s="34" t="n">
        <f aca="false">A270+1</f>
        <v>266</v>
      </c>
      <c r="B271" s="35" t="s">
        <v>201</v>
      </c>
      <c r="C271" s="35" t="str">
        <f aca="false">"0042758"</f>
        <v>0042758</v>
      </c>
      <c r="D271" s="37" t="s">
        <v>233</v>
      </c>
      <c r="E271" s="35" t="n">
        <v>2013</v>
      </c>
      <c r="F271" s="38" t="n">
        <v>1132.36</v>
      </c>
      <c r="G271" s="39" t="n">
        <v>1</v>
      </c>
      <c r="H271" s="40" t="n">
        <v>110</v>
      </c>
    </row>
    <row r="272" s="33" customFormat="true" ht="14.25" hidden="false" customHeight="false" outlineLevel="0" collapsed="false">
      <c r="A272" s="34" t="n">
        <f aca="false">A271+1</f>
        <v>267</v>
      </c>
      <c r="B272" s="35" t="s">
        <v>201</v>
      </c>
      <c r="C272" s="35" t="str">
        <f aca="false">"0043736"</f>
        <v>0043736</v>
      </c>
      <c r="D272" s="37" t="s">
        <v>234</v>
      </c>
      <c r="E272" s="35" t="n">
        <v>2014</v>
      </c>
      <c r="F272" s="38" t="n">
        <v>15900</v>
      </c>
      <c r="G272" s="39" t="n">
        <v>1</v>
      </c>
      <c r="H272" s="40" t="n">
        <v>4170</v>
      </c>
    </row>
    <row r="273" s="33" customFormat="true" ht="14.25" hidden="false" customHeight="false" outlineLevel="0" collapsed="false">
      <c r="A273" s="34" t="n">
        <f aca="false">A272+1</f>
        <v>268</v>
      </c>
      <c r="B273" s="35" t="s">
        <v>201</v>
      </c>
      <c r="C273" s="35" t="str">
        <f aca="false">"0043838"</f>
        <v>0043838</v>
      </c>
      <c r="D273" s="37" t="s">
        <v>235</v>
      </c>
      <c r="E273" s="35" t="n">
        <v>2014</v>
      </c>
      <c r="F273" s="38" t="n">
        <v>1223.14</v>
      </c>
      <c r="G273" s="39" t="n">
        <v>2</v>
      </c>
      <c r="H273" s="40" t="n">
        <v>260</v>
      </c>
    </row>
    <row r="274" s="33" customFormat="true" ht="14.25" hidden="false" customHeight="false" outlineLevel="0" collapsed="false">
      <c r="A274" s="34" t="n">
        <f aca="false">A273+1</f>
        <v>269</v>
      </c>
      <c r="B274" s="35" t="s">
        <v>201</v>
      </c>
      <c r="C274" s="35" t="str">
        <f aca="false">"0043857"</f>
        <v>0043857</v>
      </c>
      <c r="D274" s="37" t="s">
        <v>236</v>
      </c>
      <c r="E274" s="35" t="n">
        <v>2014</v>
      </c>
      <c r="F274" s="38" t="n">
        <v>1123.64</v>
      </c>
      <c r="G274" s="39" t="n">
        <v>1</v>
      </c>
      <c r="H274" s="40" t="n">
        <v>120</v>
      </c>
    </row>
    <row r="275" s="33" customFormat="true" ht="14.25" hidden="false" customHeight="false" outlineLevel="0" collapsed="false">
      <c r="A275" s="34" t="n">
        <f aca="false">A274+1</f>
        <v>270</v>
      </c>
      <c r="B275" s="35" t="s">
        <v>201</v>
      </c>
      <c r="C275" s="35" t="str">
        <f aca="false">"0044097"</f>
        <v>0044097</v>
      </c>
      <c r="D275" s="37" t="s">
        <v>237</v>
      </c>
      <c r="E275" s="35" t="n">
        <v>2014</v>
      </c>
      <c r="F275" s="38" t="n">
        <v>1155.13</v>
      </c>
      <c r="G275" s="39" t="n">
        <v>1</v>
      </c>
      <c r="H275" s="40" t="n">
        <v>130</v>
      </c>
    </row>
    <row r="276" s="33" customFormat="true" ht="14.25" hidden="false" customHeight="false" outlineLevel="0" collapsed="false">
      <c r="A276" s="34" t="n">
        <f aca="false">A275+1</f>
        <v>271</v>
      </c>
      <c r="B276" s="35" t="s">
        <v>201</v>
      </c>
      <c r="C276" s="35" t="str">
        <f aca="false">"0044762"</f>
        <v>0044762</v>
      </c>
      <c r="D276" s="37" t="s">
        <v>238</v>
      </c>
      <c r="E276" s="35" t="n">
        <v>2015</v>
      </c>
      <c r="F276" s="38" t="n">
        <v>4905.81</v>
      </c>
      <c r="G276" s="39" t="n">
        <v>2</v>
      </c>
      <c r="H276" s="40" t="n">
        <v>3300</v>
      </c>
    </row>
    <row r="277" s="33" customFormat="true" ht="14.25" hidden="false" customHeight="false" outlineLevel="0" collapsed="false">
      <c r="A277" s="34" t="n">
        <f aca="false">A276+1</f>
        <v>272</v>
      </c>
      <c r="B277" s="35" t="s">
        <v>239</v>
      </c>
      <c r="C277" s="35" t="str">
        <f aca="false">"0013484"</f>
        <v>0013484</v>
      </c>
      <c r="D277" s="37" t="s">
        <v>240</v>
      </c>
      <c r="E277" s="35" t="n">
        <v>2003</v>
      </c>
      <c r="F277" s="38" t="n">
        <v>7700.4</v>
      </c>
      <c r="G277" s="39" t="n">
        <v>1</v>
      </c>
      <c r="H277" s="40" t="n">
        <v>470</v>
      </c>
    </row>
    <row r="278" s="33" customFormat="true" ht="14.25" hidden="false" customHeight="false" outlineLevel="0" collapsed="false">
      <c r="A278" s="34" t="n">
        <f aca="false">A277+1</f>
        <v>273</v>
      </c>
      <c r="B278" s="35" t="s">
        <v>239</v>
      </c>
      <c r="C278" s="35" t="str">
        <f aca="false">"0015192"</f>
        <v>0015192</v>
      </c>
      <c r="D278" s="37" t="s">
        <v>212</v>
      </c>
      <c r="E278" s="35" t="n">
        <v>2005</v>
      </c>
      <c r="F278" s="38" t="n">
        <v>2290</v>
      </c>
      <c r="G278" s="39" t="n">
        <v>1</v>
      </c>
      <c r="H278" s="40" t="n">
        <v>130</v>
      </c>
    </row>
    <row r="279" s="33" customFormat="true" ht="14.25" hidden="false" customHeight="false" outlineLevel="0" collapsed="false">
      <c r="A279" s="34" t="n">
        <f aca="false">A278+1</f>
        <v>274</v>
      </c>
      <c r="B279" s="35" t="s">
        <v>239</v>
      </c>
      <c r="C279" s="35" t="str">
        <f aca="false">"0018044"</f>
        <v>0018044</v>
      </c>
      <c r="D279" s="37" t="s">
        <v>42</v>
      </c>
      <c r="E279" s="35" t="n">
        <v>1987</v>
      </c>
      <c r="F279" s="38" t="n">
        <v>157.6</v>
      </c>
      <c r="G279" s="39" t="n">
        <v>3</v>
      </c>
      <c r="H279" s="40" t="n">
        <v>15</v>
      </c>
    </row>
    <row r="280" s="33" customFormat="true" ht="14.25" hidden="false" customHeight="false" outlineLevel="0" collapsed="false">
      <c r="A280" s="34" t="n">
        <f aca="false">A279+1</f>
        <v>275</v>
      </c>
      <c r="B280" s="35" t="s">
        <v>239</v>
      </c>
      <c r="C280" s="35" t="str">
        <f aca="false">"0019753"</f>
        <v>0019753</v>
      </c>
      <c r="D280" s="37" t="s">
        <v>114</v>
      </c>
      <c r="E280" s="35" t="n">
        <v>1978</v>
      </c>
      <c r="F280" s="38" t="n">
        <v>129.46</v>
      </c>
      <c r="G280" s="39" t="n">
        <v>1</v>
      </c>
      <c r="H280" s="40" t="n">
        <v>5</v>
      </c>
    </row>
    <row r="281" s="33" customFormat="true" ht="14.25" hidden="false" customHeight="false" outlineLevel="0" collapsed="false">
      <c r="A281" s="34" t="n">
        <f aca="false">A280+1</f>
        <v>276</v>
      </c>
      <c r="B281" s="35" t="s">
        <v>239</v>
      </c>
      <c r="C281" s="35" t="str">
        <f aca="false">"0019760"</f>
        <v>0019760</v>
      </c>
      <c r="D281" s="37" t="s">
        <v>114</v>
      </c>
      <c r="E281" s="35" t="n">
        <v>1978</v>
      </c>
      <c r="F281" s="38" t="n">
        <v>56.29</v>
      </c>
      <c r="G281" s="39" t="n">
        <v>6</v>
      </c>
      <c r="H281" s="40" t="n">
        <v>30</v>
      </c>
    </row>
    <row r="282" s="33" customFormat="true" ht="14.25" hidden="false" customHeight="false" outlineLevel="0" collapsed="false">
      <c r="A282" s="34" t="n">
        <f aca="false">A281+1</f>
        <v>277</v>
      </c>
      <c r="B282" s="35" t="s">
        <v>239</v>
      </c>
      <c r="C282" s="35" t="str">
        <f aca="false">"0019772"</f>
        <v>0019772</v>
      </c>
      <c r="D282" s="37" t="s">
        <v>152</v>
      </c>
      <c r="E282" s="35" t="n">
        <v>1978</v>
      </c>
      <c r="F282" s="38" t="n">
        <v>140.72</v>
      </c>
      <c r="G282" s="39" t="n">
        <v>1</v>
      </c>
      <c r="H282" s="40" t="n">
        <v>5</v>
      </c>
    </row>
    <row r="283" s="33" customFormat="true" ht="14.25" hidden="false" customHeight="false" outlineLevel="0" collapsed="false">
      <c r="A283" s="34" t="n">
        <f aca="false">A282+1</f>
        <v>278</v>
      </c>
      <c r="B283" s="35" t="s">
        <v>239</v>
      </c>
      <c r="C283" s="35" t="str">
        <f aca="false">"0019779"</f>
        <v>0019779</v>
      </c>
      <c r="D283" s="37" t="s">
        <v>112</v>
      </c>
      <c r="E283" s="35" t="n">
        <v>1978</v>
      </c>
      <c r="F283" s="38" t="n">
        <v>56.29</v>
      </c>
      <c r="G283" s="39" t="n">
        <v>15</v>
      </c>
      <c r="H283" s="40" t="n">
        <v>75</v>
      </c>
    </row>
    <row r="284" s="33" customFormat="true" ht="14.25" hidden="false" customHeight="false" outlineLevel="0" collapsed="false">
      <c r="A284" s="34" t="n">
        <f aca="false">A283+1</f>
        <v>279</v>
      </c>
      <c r="B284" s="35" t="s">
        <v>239</v>
      </c>
      <c r="C284" s="35" t="str">
        <f aca="false">"0019823"</f>
        <v>0019823</v>
      </c>
      <c r="D284" s="37" t="s">
        <v>115</v>
      </c>
      <c r="E284" s="35" t="n">
        <v>1978</v>
      </c>
      <c r="F284" s="38" t="n">
        <v>16.89</v>
      </c>
      <c r="G284" s="39" t="n">
        <v>2</v>
      </c>
      <c r="H284" s="40" t="n">
        <v>10</v>
      </c>
    </row>
    <row r="285" s="33" customFormat="true" ht="14.25" hidden="false" customHeight="false" outlineLevel="0" collapsed="false">
      <c r="A285" s="34" t="n">
        <f aca="false">A284+1</f>
        <v>280</v>
      </c>
      <c r="B285" s="35" t="s">
        <v>239</v>
      </c>
      <c r="C285" s="35" t="str">
        <f aca="false">"0020495"</f>
        <v>0020495</v>
      </c>
      <c r="D285" s="37" t="s">
        <v>241</v>
      </c>
      <c r="E285" s="35" t="n">
        <v>1979</v>
      </c>
      <c r="F285" s="38" t="n">
        <v>3968.23</v>
      </c>
      <c r="G285" s="39" t="n">
        <v>1</v>
      </c>
      <c r="H285" s="40" t="n">
        <v>150</v>
      </c>
    </row>
    <row r="286" s="33" customFormat="true" ht="14.25" hidden="false" customHeight="false" outlineLevel="0" collapsed="false">
      <c r="A286" s="34" t="n">
        <f aca="false">A285+1</f>
        <v>281</v>
      </c>
      <c r="B286" s="35" t="s">
        <v>239</v>
      </c>
      <c r="C286" s="35" t="str">
        <f aca="false">"0023804"</f>
        <v>0023804</v>
      </c>
      <c r="D286" s="37" t="s">
        <v>112</v>
      </c>
      <c r="E286" s="35" t="n">
        <v>1983</v>
      </c>
      <c r="F286" s="38" t="n">
        <v>360.24</v>
      </c>
      <c r="G286" s="39" t="n">
        <v>6</v>
      </c>
      <c r="H286" s="40" t="n">
        <v>90</v>
      </c>
    </row>
    <row r="287" s="33" customFormat="true" ht="14.25" hidden="false" customHeight="false" outlineLevel="0" collapsed="false">
      <c r="A287" s="34" t="n">
        <f aca="false">A286+1</f>
        <v>282</v>
      </c>
      <c r="B287" s="35" t="s">
        <v>239</v>
      </c>
      <c r="C287" s="35" t="str">
        <f aca="false">"0023814"</f>
        <v>0023814</v>
      </c>
      <c r="D287" s="37" t="s">
        <v>114</v>
      </c>
      <c r="E287" s="35" t="n">
        <v>1983</v>
      </c>
      <c r="F287" s="38" t="n">
        <v>529.1</v>
      </c>
      <c r="G287" s="39" t="n">
        <v>1</v>
      </c>
      <c r="H287" s="40" t="n">
        <v>20</v>
      </c>
    </row>
    <row r="288" s="33" customFormat="true" ht="14.25" hidden="false" customHeight="false" outlineLevel="0" collapsed="false">
      <c r="A288" s="34" t="n">
        <f aca="false">A287+1</f>
        <v>283</v>
      </c>
      <c r="B288" s="35" t="s">
        <v>239</v>
      </c>
      <c r="C288" s="35" t="str">
        <f aca="false">"0023819"</f>
        <v>0023819</v>
      </c>
      <c r="D288" s="37" t="s">
        <v>43</v>
      </c>
      <c r="E288" s="35" t="n">
        <v>1983</v>
      </c>
      <c r="F288" s="38" t="n">
        <v>225.15</v>
      </c>
      <c r="G288" s="39" t="n">
        <v>2</v>
      </c>
      <c r="H288" s="40" t="n">
        <v>20</v>
      </c>
    </row>
    <row r="289" s="33" customFormat="true" ht="14.25" hidden="false" customHeight="false" outlineLevel="0" collapsed="false">
      <c r="A289" s="34" t="n">
        <f aca="false">A288+1</f>
        <v>284</v>
      </c>
      <c r="B289" s="35" t="s">
        <v>239</v>
      </c>
      <c r="C289" s="35" t="str">
        <f aca="false">"0024387"</f>
        <v>0024387</v>
      </c>
      <c r="D289" s="37" t="s">
        <v>241</v>
      </c>
      <c r="E289" s="35" t="n">
        <v>1984</v>
      </c>
      <c r="F289" s="38" t="n">
        <v>1542.26</v>
      </c>
      <c r="G289" s="39" t="n">
        <v>1</v>
      </c>
      <c r="H289" s="40" t="n">
        <v>60</v>
      </c>
    </row>
    <row r="290" s="33" customFormat="true" ht="14.25" hidden="false" customHeight="false" outlineLevel="0" collapsed="false">
      <c r="A290" s="34" t="n">
        <f aca="false">A289+1</f>
        <v>285</v>
      </c>
      <c r="B290" s="35" t="s">
        <v>239</v>
      </c>
      <c r="C290" s="35" t="str">
        <f aca="false">"0032110"</f>
        <v>0032110</v>
      </c>
      <c r="D290" s="37" t="s">
        <v>242</v>
      </c>
      <c r="E290" s="35" t="n">
        <v>1997</v>
      </c>
      <c r="F290" s="38" t="n">
        <v>5180</v>
      </c>
      <c r="G290" s="39" t="n">
        <v>1</v>
      </c>
      <c r="H290" s="40" t="n">
        <v>280</v>
      </c>
    </row>
    <row r="291" s="33" customFormat="true" ht="14.25" hidden="false" customHeight="false" outlineLevel="0" collapsed="false">
      <c r="A291" s="34" t="n">
        <f aca="false">A290+1</f>
        <v>286</v>
      </c>
      <c r="B291" s="35" t="s">
        <v>239</v>
      </c>
      <c r="C291" s="35" t="str">
        <f aca="false">"0033296"</f>
        <v>0033296</v>
      </c>
      <c r="D291" s="37" t="s">
        <v>243</v>
      </c>
      <c r="E291" s="35" t="n">
        <v>2003</v>
      </c>
      <c r="F291" s="38" t="n">
        <v>2109.27</v>
      </c>
      <c r="G291" s="39" t="n">
        <v>1</v>
      </c>
      <c r="H291" s="40" t="n">
        <v>130</v>
      </c>
    </row>
    <row r="292" s="33" customFormat="true" ht="14.25" hidden="false" customHeight="false" outlineLevel="0" collapsed="false">
      <c r="A292" s="34" t="n">
        <f aca="false">A291+1</f>
        <v>287</v>
      </c>
      <c r="B292" s="35" t="s">
        <v>239</v>
      </c>
      <c r="C292" s="35" t="str">
        <f aca="false">"0033297"</f>
        <v>0033297</v>
      </c>
      <c r="D292" s="37" t="s">
        <v>244</v>
      </c>
      <c r="E292" s="35" t="n">
        <v>2003</v>
      </c>
      <c r="F292" s="38" t="n">
        <v>1460.11</v>
      </c>
      <c r="G292" s="39" t="n">
        <v>1</v>
      </c>
      <c r="H292" s="40" t="n">
        <v>90</v>
      </c>
    </row>
    <row r="293" s="33" customFormat="true" ht="14.25" hidden="false" customHeight="false" outlineLevel="0" collapsed="false">
      <c r="A293" s="34" t="n">
        <f aca="false">A292+1</f>
        <v>288</v>
      </c>
      <c r="B293" s="35" t="s">
        <v>239</v>
      </c>
      <c r="C293" s="35" t="str">
        <f aca="false">"0033298"</f>
        <v>0033298</v>
      </c>
      <c r="D293" s="37" t="s">
        <v>45</v>
      </c>
      <c r="E293" s="35" t="n">
        <v>2003</v>
      </c>
      <c r="F293" s="38" t="n">
        <v>672.55</v>
      </c>
      <c r="G293" s="39" t="n">
        <v>1</v>
      </c>
      <c r="H293" s="40" t="n">
        <v>50</v>
      </c>
    </row>
    <row r="294" s="33" customFormat="true" ht="14.25" hidden="false" customHeight="false" outlineLevel="0" collapsed="false">
      <c r="A294" s="34" t="n">
        <f aca="false">A293+1</f>
        <v>289</v>
      </c>
      <c r="B294" s="35" t="s">
        <v>239</v>
      </c>
      <c r="C294" s="35" t="str">
        <f aca="false">"0033299"</f>
        <v>0033299</v>
      </c>
      <c r="D294" s="37" t="s">
        <v>245</v>
      </c>
      <c r="E294" s="35" t="n">
        <v>2003</v>
      </c>
      <c r="F294" s="38" t="n">
        <v>832.72</v>
      </c>
      <c r="G294" s="39" t="n">
        <v>1</v>
      </c>
      <c r="H294" s="40" t="n">
        <v>60</v>
      </c>
    </row>
    <row r="295" s="33" customFormat="true" ht="14.25" hidden="false" customHeight="false" outlineLevel="0" collapsed="false">
      <c r="A295" s="34" t="n">
        <f aca="false">A294+1</f>
        <v>290</v>
      </c>
      <c r="B295" s="35" t="s">
        <v>239</v>
      </c>
      <c r="C295" s="35" t="str">
        <f aca="false">"0033300"</f>
        <v>0033300</v>
      </c>
      <c r="D295" s="37" t="s">
        <v>246</v>
      </c>
      <c r="E295" s="35" t="n">
        <v>2003</v>
      </c>
      <c r="F295" s="38" t="n">
        <v>1126.22</v>
      </c>
      <c r="G295" s="39" t="n">
        <v>1</v>
      </c>
      <c r="H295" s="40" t="n">
        <v>80</v>
      </c>
    </row>
    <row r="296" s="33" customFormat="true" ht="14.25" hidden="false" customHeight="false" outlineLevel="0" collapsed="false">
      <c r="A296" s="34" t="n">
        <f aca="false">A295+1</f>
        <v>291</v>
      </c>
      <c r="B296" s="35" t="s">
        <v>239</v>
      </c>
      <c r="C296" s="35" t="str">
        <f aca="false">"0033305"</f>
        <v>0033305</v>
      </c>
      <c r="D296" s="37" t="s">
        <v>247</v>
      </c>
      <c r="E296" s="35" t="n">
        <v>2003</v>
      </c>
      <c r="F296" s="38" t="n">
        <v>339</v>
      </c>
      <c r="G296" s="39" t="n">
        <v>1</v>
      </c>
      <c r="H296" s="40" t="n">
        <v>20</v>
      </c>
    </row>
    <row r="297" s="33" customFormat="true" ht="14.25" hidden="false" customHeight="false" outlineLevel="0" collapsed="false">
      <c r="A297" s="34" t="n">
        <f aca="false">A296+1</f>
        <v>292</v>
      </c>
      <c r="B297" s="35" t="s">
        <v>239</v>
      </c>
      <c r="C297" s="35" t="str">
        <f aca="false">"0033375"</f>
        <v>0033375</v>
      </c>
      <c r="D297" s="37" t="s">
        <v>248</v>
      </c>
      <c r="E297" s="35" t="n">
        <v>2003</v>
      </c>
      <c r="F297" s="38" t="n">
        <v>3040.88</v>
      </c>
      <c r="G297" s="39" t="n">
        <v>1</v>
      </c>
      <c r="H297" s="40" t="n">
        <v>180</v>
      </c>
    </row>
    <row r="298" s="33" customFormat="true" ht="14.25" hidden="false" customHeight="false" outlineLevel="0" collapsed="false">
      <c r="A298" s="34" t="n">
        <f aca="false">A297+1</f>
        <v>293</v>
      </c>
      <c r="B298" s="35" t="s">
        <v>239</v>
      </c>
      <c r="C298" s="35" t="str">
        <f aca="false">"0038421"</f>
        <v>0038421</v>
      </c>
      <c r="D298" s="37" t="s">
        <v>73</v>
      </c>
      <c r="E298" s="35" t="n">
        <v>2008</v>
      </c>
      <c r="F298" s="38" t="n">
        <v>811</v>
      </c>
      <c r="G298" s="39" t="n">
        <v>1</v>
      </c>
      <c r="H298" s="40" t="n">
        <v>50</v>
      </c>
    </row>
    <row r="299" s="33" customFormat="true" ht="14.25" hidden="false" customHeight="false" outlineLevel="0" collapsed="false">
      <c r="A299" s="34" t="n">
        <f aca="false">A298+1</f>
        <v>294</v>
      </c>
      <c r="B299" s="35" t="s">
        <v>239</v>
      </c>
      <c r="C299" s="35" t="str">
        <f aca="false">"0040721"</f>
        <v>0040721</v>
      </c>
      <c r="D299" s="37" t="s">
        <v>143</v>
      </c>
      <c r="E299" s="35" t="n">
        <v>2010</v>
      </c>
      <c r="F299" s="38" t="n">
        <v>4503.18</v>
      </c>
      <c r="G299" s="39" t="n">
        <v>1</v>
      </c>
      <c r="H299" s="40" t="n">
        <v>330</v>
      </c>
    </row>
    <row r="300" s="33" customFormat="true" ht="14.25" hidden="false" customHeight="false" outlineLevel="0" collapsed="false">
      <c r="A300" s="34" t="n">
        <f aca="false">A299+1</f>
        <v>295</v>
      </c>
      <c r="B300" s="35" t="s">
        <v>239</v>
      </c>
      <c r="C300" s="35" t="str">
        <f aca="false">"0040798"</f>
        <v>0040798</v>
      </c>
      <c r="D300" s="37" t="s">
        <v>249</v>
      </c>
      <c r="E300" s="35" t="n">
        <v>2010</v>
      </c>
      <c r="F300" s="38" t="n">
        <v>12018</v>
      </c>
      <c r="G300" s="39" t="n">
        <v>1</v>
      </c>
      <c r="H300" s="40" t="n">
        <v>1230</v>
      </c>
    </row>
    <row r="301" s="33" customFormat="true" ht="14.25" hidden="false" customHeight="false" outlineLevel="0" collapsed="false">
      <c r="A301" s="34" t="n">
        <f aca="false">A300+1</f>
        <v>296</v>
      </c>
      <c r="B301" s="35" t="s">
        <v>239</v>
      </c>
      <c r="C301" s="35" t="str">
        <f aca="false">"0040962"</f>
        <v>0040962</v>
      </c>
      <c r="D301" s="37" t="s">
        <v>250</v>
      </c>
      <c r="E301" s="35" t="n">
        <v>2010</v>
      </c>
      <c r="F301" s="38" t="n">
        <v>545.15</v>
      </c>
      <c r="G301" s="39" t="n">
        <v>1</v>
      </c>
      <c r="H301" s="40" t="n">
        <v>50</v>
      </c>
    </row>
    <row r="302" s="33" customFormat="true" ht="14.25" hidden="false" customHeight="false" outlineLevel="0" collapsed="false">
      <c r="A302" s="34" t="n">
        <f aca="false">A301+1</f>
        <v>297</v>
      </c>
      <c r="B302" s="35" t="s">
        <v>239</v>
      </c>
      <c r="C302" s="35" t="str">
        <f aca="false">"0041158"</f>
        <v>0041158</v>
      </c>
      <c r="D302" s="37" t="s">
        <v>251</v>
      </c>
      <c r="E302" s="35" t="n">
        <v>2011</v>
      </c>
      <c r="F302" s="38" t="n">
        <v>3530.8</v>
      </c>
      <c r="G302" s="39" t="n">
        <v>1</v>
      </c>
      <c r="H302" s="40" t="n">
        <v>300</v>
      </c>
    </row>
    <row r="303" s="33" customFormat="true" ht="14.25" hidden="false" customHeight="false" outlineLevel="0" collapsed="false">
      <c r="A303" s="34" t="n">
        <f aca="false">A302+1</f>
        <v>298</v>
      </c>
      <c r="B303" s="35" t="s">
        <v>239</v>
      </c>
      <c r="C303" s="35" t="str">
        <f aca="false">"0041729"</f>
        <v>0041729</v>
      </c>
      <c r="D303" s="37" t="s">
        <v>252</v>
      </c>
      <c r="E303" s="35" t="n">
        <v>2011</v>
      </c>
      <c r="F303" s="38" t="n">
        <v>483.25</v>
      </c>
      <c r="G303" s="39" t="n">
        <v>1</v>
      </c>
      <c r="H303" s="40" t="n">
        <v>70</v>
      </c>
    </row>
    <row r="304" s="33" customFormat="true" ht="14.25" hidden="false" customHeight="false" outlineLevel="0" collapsed="false">
      <c r="A304" s="34" t="n">
        <f aca="false">A303+1</f>
        <v>299</v>
      </c>
      <c r="B304" s="35" t="s">
        <v>239</v>
      </c>
      <c r="C304" s="35" t="str">
        <f aca="false">"0042019"</f>
        <v>0042019</v>
      </c>
      <c r="D304" s="37" t="s">
        <v>253</v>
      </c>
      <c r="E304" s="35" t="n">
        <v>2012</v>
      </c>
      <c r="F304" s="38" t="n">
        <v>866.25</v>
      </c>
      <c r="G304" s="39" t="n">
        <v>1</v>
      </c>
      <c r="H304" s="40" t="n">
        <v>200</v>
      </c>
    </row>
    <row r="305" s="33" customFormat="true" ht="14.25" hidden="false" customHeight="false" outlineLevel="0" collapsed="false">
      <c r="A305" s="34" t="n">
        <f aca="false">A304+1</f>
        <v>300</v>
      </c>
      <c r="B305" s="35" t="s">
        <v>239</v>
      </c>
      <c r="C305" s="35" t="str">
        <f aca="false">"0042020"</f>
        <v>0042020</v>
      </c>
      <c r="D305" s="37" t="s">
        <v>254</v>
      </c>
      <c r="E305" s="35" t="n">
        <v>2012</v>
      </c>
      <c r="F305" s="38" t="n">
        <v>5134.47</v>
      </c>
      <c r="G305" s="39" t="n">
        <v>1</v>
      </c>
      <c r="H305" s="40" t="n">
        <v>480</v>
      </c>
    </row>
    <row r="306" s="33" customFormat="true" ht="14.25" hidden="false" customHeight="false" outlineLevel="0" collapsed="false">
      <c r="A306" s="34" t="n">
        <f aca="false">A305+1</f>
        <v>301</v>
      </c>
      <c r="B306" s="35" t="s">
        <v>239</v>
      </c>
      <c r="C306" s="35" t="str">
        <f aca="false">"0043859"</f>
        <v>0043859</v>
      </c>
      <c r="D306" s="37" t="s">
        <v>255</v>
      </c>
      <c r="E306" s="35" t="n">
        <v>2014</v>
      </c>
      <c r="F306" s="38" t="n">
        <v>3409.29</v>
      </c>
      <c r="G306" s="39" t="n">
        <v>2</v>
      </c>
      <c r="H306" s="40" t="n">
        <v>760</v>
      </c>
    </row>
    <row r="307" s="33" customFormat="true" ht="14.25" hidden="false" customHeight="false" outlineLevel="0" collapsed="false">
      <c r="A307" s="34" t="n">
        <f aca="false">A306+1</f>
        <v>302</v>
      </c>
      <c r="B307" s="35" t="s">
        <v>256</v>
      </c>
      <c r="C307" s="35" t="str">
        <f aca="false">"0007815"</f>
        <v>0007815</v>
      </c>
      <c r="D307" s="37" t="s">
        <v>257</v>
      </c>
      <c r="E307" s="35" t="n">
        <v>1990</v>
      </c>
      <c r="F307" s="38" t="n">
        <f aca="false">1650*7.5</f>
        <v>12375</v>
      </c>
      <c r="G307" s="39" t="n">
        <v>1</v>
      </c>
      <c r="H307" s="40" t="n">
        <v>650</v>
      </c>
    </row>
    <row r="308" s="33" customFormat="true" ht="14.25" hidden="false" customHeight="false" outlineLevel="0" collapsed="false">
      <c r="A308" s="34" t="n">
        <f aca="false">A307+1</f>
        <v>303</v>
      </c>
      <c r="B308" s="35" t="s">
        <v>256</v>
      </c>
      <c r="C308" s="35" t="str">
        <f aca="false">"0009981"</f>
        <v>0009981</v>
      </c>
      <c r="D308" s="37" t="s">
        <v>258</v>
      </c>
      <c r="E308" s="35" t="n">
        <v>1997</v>
      </c>
      <c r="F308" s="38" t="n">
        <f aca="false">1870*1.1</f>
        <v>2057</v>
      </c>
      <c r="G308" s="39" t="n">
        <v>3</v>
      </c>
      <c r="H308" s="40" t="n">
        <v>360</v>
      </c>
    </row>
    <row r="309" s="33" customFormat="true" ht="14.25" hidden="false" customHeight="false" outlineLevel="0" collapsed="false">
      <c r="A309" s="34" t="n">
        <f aca="false">A308+1</f>
        <v>304</v>
      </c>
      <c r="B309" s="35" t="s">
        <v>256</v>
      </c>
      <c r="C309" s="35" t="str">
        <f aca="false">"0014003"</f>
        <v>0014003</v>
      </c>
      <c r="D309" s="37" t="s">
        <v>259</v>
      </c>
      <c r="E309" s="35" t="n">
        <v>2004</v>
      </c>
      <c r="F309" s="38" t="n">
        <v>2567.31</v>
      </c>
      <c r="G309" s="39" t="n">
        <v>1</v>
      </c>
      <c r="H309" s="40" t="n">
        <v>150</v>
      </c>
    </row>
    <row r="310" s="33" customFormat="true" ht="14.25" hidden="false" customHeight="false" outlineLevel="0" collapsed="false">
      <c r="A310" s="34" t="n">
        <f aca="false">A309+1</f>
        <v>305</v>
      </c>
      <c r="B310" s="35" t="s">
        <v>256</v>
      </c>
      <c r="C310" s="35" t="str">
        <f aca="false">"0014016"</f>
        <v>0014016</v>
      </c>
      <c r="D310" s="37" t="s">
        <v>260</v>
      </c>
      <c r="E310" s="35" t="n">
        <v>2004</v>
      </c>
      <c r="F310" s="38" t="n">
        <v>874</v>
      </c>
      <c r="G310" s="39" t="n">
        <v>1</v>
      </c>
      <c r="H310" s="44" t="s">
        <v>121</v>
      </c>
    </row>
    <row r="311" s="33" customFormat="true" ht="14.25" hidden="false" customHeight="false" outlineLevel="0" collapsed="false">
      <c r="A311" s="34" t="n">
        <f aca="false">A310+1</f>
        <v>306</v>
      </c>
      <c r="B311" s="35" t="s">
        <v>256</v>
      </c>
      <c r="C311" s="35" t="str">
        <f aca="false">"0014029"</f>
        <v>0014029</v>
      </c>
      <c r="D311" s="37" t="s">
        <v>261</v>
      </c>
      <c r="E311" s="35" t="n">
        <v>2004</v>
      </c>
      <c r="F311" s="38" t="n">
        <v>10107</v>
      </c>
      <c r="G311" s="39" t="n">
        <v>2</v>
      </c>
      <c r="H311" s="40" t="n">
        <v>1200</v>
      </c>
    </row>
    <row r="312" s="33" customFormat="true" ht="14.25" hidden="false" customHeight="false" outlineLevel="0" collapsed="false">
      <c r="A312" s="34" t="n">
        <f aca="false">A311+1</f>
        <v>307</v>
      </c>
      <c r="B312" s="35" t="s">
        <v>256</v>
      </c>
      <c r="C312" s="35" t="str">
        <f aca="false">"0014839"</f>
        <v>0014839</v>
      </c>
      <c r="D312" s="37" t="s">
        <v>262</v>
      </c>
      <c r="E312" s="35" t="n">
        <v>2005</v>
      </c>
      <c r="F312" s="38" t="n">
        <v>2393</v>
      </c>
      <c r="G312" s="39" t="n">
        <v>1</v>
      </c>
      <c r="H312" s="40" t="n">
        <v>140</v>
      </c>
    </row>
    <row r="313" s="33" customFormat="true" ht="14.25" hidden="false" customHeight="false" outlineLevel="0" collapsed="false">
      <c r="A313" s="34" t="n">
        <f aca="false">A312+1</f>
        <v>308</v>
      </c>
      <c r="B313" s="35" t="s">
        <v>256</v>
      </c>
      <c r="C313" s="35" t="str">
        <f aca="false">"0014892"</f>
        <v>0014892</v>
      </c>
      <c r="D313" s="37" t="s">
        <v>263</v>
      </c>
      <c r="E313" s="35" t="n">
        <v>2005</v>
      </c>
      <c r="F313" s="38" t="n">
        <v>5548</v>
      </c>
      <c r="G313" s="39" t="n">
        <v>2</v>
      </c>
      <c r="H313" s="40" t="n">
        <v>660</v>
      </c>
    </row>
    <row r="314" s="33" customFormat="true" ht="14.25" hidden="false" customHeight="false" outlineLevel="0" collapsed="false">
      <c r="A314" s="34" t="n">
        <f aca="false">A313+1</f>
        <v>309</v>
      </c>
      <c r="B314" s="35" t="s">
        <v>256</v>
      </c>
      <c r="C314" s="35" t="str">
        <f aca="false">"0014940"</f>
        <v>0014940</v>
      </c>
      <c r="D314" s="37" t="s">
        <v>264</v>
      </c>
      <c r="E314" s="35" t="n">
        <v>2005</v>
      </c>
      <c r="F314" s="38" t="n">
        <v>5548</v>
      </c>
      <c r="G314" s="39" t="n">
        <v>1</v>
      </c>
      <c r="H314" s="40" t="n">
        <v>330</v>
      </c>
    </row>
    <row r="315" s="33" customFormat="true" ht="14.25" hidden="false" customHeight="false" outlineLevel="0" collapsed="false">
      <c r="A315" s="34" t="n">
        <f aca="false">A314+1</f>
        <v>310</v>
      </c>
      <c r="B315" s="35" t="s">
        <v>256</v>
      </c>
      <c r="C315" s="35" t="str">
        <f aca="false">"0015195"</f>
        <v>0015195</v>
      </c>
      <c r="D315" s="37" t="s">
        <v>265</v>
      </c>
      <c r="E315" s="35" t="n">
        <v>2005</v>
      </c>
      <c r="F315" s="38" t="n">
        <v>2272.58</v>
      </c>
      <c r="G315" s="39" t="n">
        <v>1</v>
      </c>
      <c r="H315" s="40" t="n">
        <v>140</v>
      </c>
    </row>
    <row r="316" s="33" customFormat="true" ht="14.25" hidden="false" customHeight="false" outlineLevel="0" collapsed="false">
      <c r="A316" s="34" t="n">
        <f aca="false">A315+1</f>
        <v>311</v>
      </c>
      <c r="B316" s="35" t="s">
        <v>256</v>
      </c>
      <c r="C316" s="35" t="str">
        <f aca="false">"0015334"</f>
        <v>0015334</v>
      </c>
      <c r="D316" s="37" t="s">
        <v>266</v>
      </c>
      <c r="E316" s="35" t="n">
        <v>2005</v>
      </c>
      <c r="F316" s="38" t="n">
        <v>537.79</v>
      </c>
      <c r="G316" s="39" t="n">
        <v>1</v>
      </c>
      <c r="H316" s="40" t="n">
        <v>30</v>
      </c>
    </row>
    <row r="317" s="33" customFormat="true" ht="14.25" hidden="false" customHeight="false" outlineLevel="0" collapsed="false">
      <c r="A317" s="34" t="n">
        <f aca="false">A316+1</f>
        <v>312</v>
      </c>
      <c r="B317" s="35" t="s">
        <v>256</v>
      </c>
      <c r="C317" s="35" t="str">
        <f aca="false">"0015917"</f>
        <v>0015917</v>
      </c>
      <c r="D317" s="37" t="s">
        <v>267</v>
      </c>
      <c r="E317" s="35" t="n">
        <v>2006</v>
      </c>
      <c r="F317" s="38" t="n">
        <v>375</v>
      </c>
      <c r="G317" s="39" t="n">
        <v>1</v>
      </c>
      <c r="H317" s="40" t="n">
        <v>20</v>
      </c>
    </row>
    <row r="318" s="33" customFormat="true" ht="14.25" hidden="false" customHeight="false" outlineLevel="0" collapsed="false">
      <c r="A318" s="34" t="n">
        <f aca="false">A317+1</f>
        <v>313</v>
      </c>
      <c r="B318" s="35" t="s">
        <v>256</v>
      </c>
      <c r="C318" s="35" t="str">
        <f aca="false">"0017773"</f>
        <v>0017773</v>
      </c>
      <c r="D318" s="37" t="s">
        <v>42</v>
      </c>
      <c r="E318" s="35" t="n">
        <v>1987</v>
      </c>
      <c r="F318" s="38" t="n">
        <v>168.86</v>
      </c>
      <c r="G318" s="39" t="n">
        <v>1</v>
      </c>
      <c r="H318" s="40" t="n">
        <v>10</v>
      </c>
    </row>
    <row r="319" s="33" customFormat="true" ht="14.25" hidden="false" customHeight="false" outlineLevel="0" collapsed="false">
      <c r="A319" s="34" t="n">
        <f aca="false">A318+1</f>
        <v>314</v>
      </c>
      <c r="B319" s="35" t="s">
        <v>256</v>
      </c>
      <c r="C319" s="35" t="str">
        <f aca="false">"0019766"</f>
        <v>0019766</v>
      </c>
      <c r="D319" s="37" t="s">
        <v>114</v>
      </c>
      <c r="E319" s="35" t="n">
        <v>1987</v>
      </c>
      <c r="F319" s="38" t="n">
        <v>56.29</v>
      </c>
      <c r="G319" s="39" t="n">
        <v>1</v>
      </c>
      <c r="H319" s="40" t="n">
        <v>5</v>
      </c>
    </row>
    <row r="320" s="33" customFormat="true" ht="14.25" hidden="false" customHeight="false" outlineLevel="0" collapsed="false">
      <c r="A320" s="34" t="n">
        <f aca="false">A319+1</f>
        <v>315</v>
      </c>
      <c r="B320" s="35" t="s">
        <v>256</v>
      </c>
      <c r="C320" s="35" t="str">
        <f aca="false">"0019773"</f>
        <v>0019773</v>
      </c>
      <c r="D320" s="37" t="s">
        <v>152</v>
      </c>
      <c r="E320" s="35" t="n">
        <v>1987</v>
      </c>
      <c r="F320" s="38" t="n">
        <v>140.72</v>
      </c>
      <c r="G320" s="39" t="n">
        <v>1</v>
      </c>
      <c r="H320" s="40" t="n">
        <v>5</v>
      </c>
    </row>
    <row r="321" s="33" customFormat="true" ht="14.25" hidden="false" customHeight="false" outlineLevel="0" collapsed="false">
      <c r="A321" s="34" t="n">
        <f aca="false">A320+1</f>
        <v>316</v>
      </c>
      <c r="B321" s="35" t="s">
        <v>256</v>
      </c>
      <c r="C321" s="35" t="str">
        <f aca="false">"0020432"</f>
        <v>0020432</v>
      </c>
      <c r="D321" s="37" t="s">
        <v>42</v>
      </c>
      <c r="E321" s="35" t="n">
        <v>1979</v>
      </c>
      <c r="F321" s="38" t="n">
        <v>191.38</v>
      </c>
      <c r="G321" s="39" t="n">
        <v>7</v>
      </c>
      <c r="H321" s="40" t="n">
        <v>70</v>
      </c>
    </row>
    <row r="322" s="33" customFormat="true" ht="14.25" hidden="false" customHeight="false" outlineLevel="0" collapsed="false">
      <c r="A322" s="34" t="n">
        <f aca="false">A321+1</f>
        <v>317</v>
      </c>
      <c r="B322" s="35" t="s">
        <v>256</v>
      </c>
      <c r="C322" s="35" t="str">
        <f aca="false">"0020500"</f>
        <v>0020500</v>
      </c>
      <c r="D322" s="37" t="s">
        <v>42</v>
      </c>
      <c r="E322" s="35" t="n">
        <v>1979</v>
      </c>
      <c r="F322" s="38" t="n">
        <v>264.55</v>
      </c>
      <c r="G322" s="39" t="n">
        <v>1</v>
      </c>
      <c r="H322" s="40" t="n">
        <v>10</v>
      </c>
    </row>
    <row r="323" s="33" customFormat="true" ht="14.25" hidden="false" customHeight="false" outlineLevel="0" collapsed="false">
      <c r="A323" s="34" t="n">
        <f aca="false">A322+1</f>
        <v>318</v>
      </c>
      <c r="B323" s="35" t="s">
        <v>256</v>
      </c>
      <c r="C323" s="35" t="str">
        <f aca="false">"0020883"</f>
        <v>0020883</v>
      </c>
      <c r="D323" s="37" t="s">
        <v>114</v>
      </c>
      <c r="E323" s="35" t="n">
        <v>1979</v>
      </c>
      <c r="F323" s="38" t="n">
        <v>545.98</v>
      </c>
      <c r="G323" s="39" t="n">
        <v>4</v>
      </c>
      <c r="H323" s="40" t="n">
        <v>80</v>
      </c>
    </row>
    <row r="324" s="33" customFormat="true" ht="14.25" hidden="false" customHeight="false" outlineLevel="0" collapsed="false">
      <c r="A324" s="34" t="n">
        <f aca="false">A323+1</f>
        <v>319</v>
      </c>
      <c r="B324" s="35" t="s">
        <v>256</v>
      </c>
      <c r="C324" s="35" t="str">
        <f aca="false">"0023598"</f>
        <v>0023598</v>
      </c>
      <c r="D324" s="37" t="s">
        <v>114</v>
      </c>
      <c r="E324" s="35" t="n">
        <v>1982</v>
      </c>
      <c r="F324" s="38" t="n">
        <v>2645.49</v>
      </c>
      <c r="G324" s="39" t="n">
        <v>1</v>
      </c>
      <c r="H324" s="40" t="n">
        <v>110</v>
      </c>
    </row>
    <row r="325" s="33" customFormat="true" ht="14.25" hidden="false" customHeight="false" outlineLevel="0" collapsed="false">
      <c r="A325" s="34" t="n">
        <f aca="false">A324+1</f>
        <v>320</v>
      </c>
      <c r="B325" s="35" t="s">
        <v>256</v>
      </c>
      <c r="C325" s="35" t="str">
        <f aca="false">"0028173"</f>
        <v>0028173</v>
      </c>
      <c r="D325" s="37" t="s">
        <v>268</v>
      </c>
      <c r="E325" s="35" t="n">
        <v>1986</v>
      </c>
      <c r="F325" s="38" t="n">
        <v>208.26</v>
      </c>
      <c r="G325" s="39" t="n">
        <v>1</v>
      </c>
      <c r="H325" s="40" t="n">
        <v>10</v>
      </c>
    </row>
    <row r="326" s="33" customFormat="true" ht="14.25" hidden="false" customHeight="false" outlineLevel="0" collapsed="false">
      <c r="A326" s="34" t="n">
        <f aca="false">A325+1</f>
        <v>321</v>
      </c>
      <c r="B326" s="35" t="s">
        <v>256</v>
      </c>
      <c r="C326" s="35" t="str">
        <f aca="false">"0028175"</f>
        <v>0028175</v>
      </c>
      <c r="D326" s="37" t="s">
        <v>45</v>
      </c>
      <c r="E326" s="35" t="n">
        <v>1986</v>
      </c>
      <c r="F326" s="38" t="n">
        <v>410.9</v>
      </c>
      <c r="G326" s="39" t="n">
        <v>1</v>
      </c>
      <c r="H326" s="40" t="n">
        <v>20</v>
      </c>
    </row>
    <row r="327" s="33" customFormat="true" ht="14.25" hidden="false" customHeight="false" outlineLevel="0" collapsed="false">
      <c r="A327" s="34" t="n">
        <f aca="false">A326+1</f>
        <v>322</v>
      </c>
      <c r="B327" s="35" t="s">
        <v>256</v>
      </c>
      <c r="C327" s="35" t="str">
        <f aca="false">"0032156"</f>
        <v>0032156</v>
      </c>
      <c r="D327" s="37" t="s">
        <v>269</v>
      </c>
      <c r="E327" s="35" t="n">
        <v>1997</v>
      </c>
      <c r="F327" s="38" t="n">
        <v>5373.1</v>
      </c>
      <c r="G327" s="39" t="n">
        <v>1</v>
      </c>
      <c r="H327" s="40" t="n">
        <v>300</v>
      </c>
    </row>
    <row r="328" s="33" customFormat="true" ht="14.25" hidden="false" customHeight="false" outlineLevel="0" collapsed="false">
      <c r="A328" s="34" t="n">
        <f aca="false">A327+1</f>
        <v>323</v>
      </c>
      <c r="B328" s="35" t="s">
        <v>256</v>
      </c>
      <c r="C328" s="35" t="str">
        <f aca="false">"0032157"</f>
        <v>0032157</v>
      </c>
      <c r="D328" s="37" t="s">
        <v>270</v>
      </c>
      <c r="E328" s="35" t="n">
        <v>1997</v>
      </c>
      <c r="F328" s="38" t="n">
        <v>4592.04</v>
      </c>
      <c r="G328" s="39" t="n">
        <v>2</v>
      </c>
      <c r="H328" s="40" t="n">
        <v>520</v>
      </c>
    </row>
    <row r="329" s="33" customFormat="true" ht="14.25" hidden="false" customHeight="false" outlineLevel="0" collapsed="false">
      <c r="A329" s="34" t="n">
        <f aca="false">A328+1</f>
        <v>324</v>
      </c>
      <c r="B329" s="35" t="s">
        <v>256</v>
      </c>
      <c r="C329" s="35" t="str">
        <f aca="false">"0032999"</f>
        <v>0032999</v>
      </c>
      <c r="D329" s="37" t="s">
        <v>271</v>
      </c>
      <c r="E329" s="35" t="n">
        <v>2002</v>
      </c>
      <c r="F329" s="38" t="n">
        <v>2754</v>
      </c>
      <c r="G329" s="39" t="n">
        <v>1</v>
      </c>
      <c r="H329" s="40" t="n">
        <v>170</v>
      </c>
    </row>
    <row r="330" s="33" customFormat="true" ht="14.25" hidden="false" customHeight="false" outlineLevel="0" collapsed="false">
      <c r="A330" s="34" t="n">
        <f aca="false">A329+1</f>
        <v>325</v>
      </c>
      <c r="B330" s="35" t="s">
        <v>256</v>
      </c>
      <c r="C330" s="35" t="str">
        <f aca="false">"0034637"</f>
        <v>0034637</v>
      </c>
      <c r="D330" s="37" t="s">
        <v>272</v>
      </c>
      <c r="E330" s="35" t="n">
        <v>2006</v>
      </c>
      <c r="F330" s="38" t="n">
        <v>1240</v>
      </c>
      <c r="G330" s="39" t="n">
        <v>1</v>
      </c>
      <c r="H330" s="40" t="n">
        <v>80</v>
      </c>
    </row>
    <row r="331" s="33" customFormat="true" ht="14.25" hidden="false" customHeight="false" outlineLevel="0" collapsed="false">
      <c r="A331" s="34" t="n">
        <f aca="false">A330+1</f>
        <v>326</v>
      </c>
      <c r="B331" s="35" t="s">
        <v>256</v>
      </c>
      <c r="C331" s="35" t="str">
        <f aca="false">"0034987"</f>
        <v>0034987</v>
      </c>
      <c r="D331" s="37" t="s">
        <v>224</v>
      </c>
      <c r="E331" s="35" t="n">
        <v>2007</v>
      </c>
      <c r="F331" s="38" t="n">
        <v>1320</v>
      </c>
      <c r="G331" s="39" t="n">
        <v>1</v>
      </c>
      <c r="H331" s="40" t="n">
        <v>100</v>
      </c>
    </row>
    <row r="332" s="33" customFormat="true" ht="14.25" hidden="false" customHeight="false" outlineLevel="0" collapsed="false">
      <c r="A332" s="34" t="n">
        <f aca="false">A331+1</f>
        <v>327</v>
      </c>
      <c r="B332" s="35" t="s">
        <v>256</v>
      </c>
      <c r="C332" s="35" t="str">
        <f aca="false">"0036924"</f>
        <v>0036924</v>
      </c>
      <c r="D332" s="37" t="s">
        <v>210</v>
      </c>
      <c r="E332" s="35" t="n">
        <v>2008</v>
      </c>
      <c r="F332" s="38" t="n">
        <v>4897.87</v>
      </c>
      <c r="G332" s="39" t="n">
        <v>1</v>
      </c>
      <c r="H332" s="40" t="n">
        <v>300</v>
      </c>
    </row>
    <row r="333" s="33" customFormat="true" ht="14.25" hidden="false" customHeight="false" outlineLevel="0" collapsed="false">
      <c r="A333" s="34" t="n">
        <f aca="false">A332+1</f>
        <v>328</v>
      </c>
      <c r="B333" s="35" t="s">
        <v>256</v>
      </c>
      <c r="C333" s="35" t="str">
        <f aca="false">"0037322"</f>
        <v>0037322</v>
      </c>
      <c r="D333" s="37" t="s">
        <v>273</v>
      </c>
      <c r="E333" s="35" t="n">
        <v>2008</v>
      </c>
      <c r="F333" s="38" t="n">
        <v>4425</v>
      </c>
      <c r="G333" s="39" t="n">
        <v>1</v>
      </c>
      <c r="H333" s="40" t="n">
        <v>370</v>
      </c>
    </row>
    <row r="334" s="33" customFormat="true" ht="14.25" hidden="false" customHeight="false" outlineLevel="0" collapsed="false">
      <c r="A334" s="34" t="n">
        <f aca="false">A333+1</f>
        <v>329</v>
      </c>
      <c r="B334" s="35" t="s">
        <v>256</v>
      </c>
      <c r="C334" s="35" t="str">
        <f aca="false">"0037537"</f>
        <v>0037537</v>
      </c>
      <c r="D334" s="37" t="s">
        <v>274</v>
      </c>
      <c r="E334" s="35" t="n">
        <v>2008</v>
      </c>
      <c r="F334" s="38" t="n">
        <v>1790</v>
      </c>
      <c r="G334" s="39" t="n">
        <v>1</v>
      </c>
      <c r="H334" s="40" t="n">
        <v>100</v>
      </c>
    </row>
    <row r="335" s="33" customFormat="true" ht="14.25" hidden="false" customHeight="false" outlineLevel="0" collapsed="false">
      <c r="A335" s="34" t="n">
        <f aca="false">A334+1</f>
        <v>330</v>
      </c>
      <c r="B335" s="35" t="s">
        <v>256</v>
      </c>
      <c r="C335" s="35" t="str">
        <f aca="false">"0037935"</f>
        <v>0037935</v>
      </c>
      <c r="D335" s="37" t="s">
        <v>275</v>
      </c>
      <c r="E335" s="35" t="n">
        <v>2008</v>
      </c>
      <c r="F335" s="38" t="n">
        <v>527</v>
      </c>
      <c r="G335" s="39" t="n">
        <v>1</v>
      </c>
      <c r="H335" s="40" t="n">
        <v>30</v>
      </c>
    </row>
    <row r="336" s="33" customFormat="true" ht="14.25" hidden="false" customHeight="false" outlineLevel="0" collapsed="false">
      <c r="A336" s="34" t="n">
        <f aca="false">A335+1</f>
        <v>331</v>
      </c>
      <c r="B336" s="35" t="s">
        <v>256</v>
      </c>
      <c r="C336" s="35" t="str">
        <f aca="false">"0038420"</f>
        <v>0038420</v>
      </c>
      <c r="D336" s="37" t="s">
        <v>73</v>
      </c>
      <c r="E336" s="35" t="n">
        <v>2008</v>
      </c>
      <c r="F336" s="38" t="n">
        <v>811</v>
      </c>
      <c r="G336" s="39" t="n">
        <v>1</v>
      </c>
      <c r="H336" s="40" t="n">
        <v>50</v>
      </c>
    </row>
    <row r="337" s="33" customFormat="true" ht="14.25" hidden="false" customHeight="false" outlineLevel="0" collapsed="false">
      <c r="A337" s="34" t="n">
        <f aca="false">A336+1</f>
        <v>332</v>
      </c>
      <c r="B337" s="35" t="s">
        <v>256</v>
      </c>
      <c r="C337" s="35" t="str">
        <f aca="false">"0040462"</f>
        <v>0040462</v>
      </c>
      <c r="D337" s="37" t="s">
        <v>276</v>
      </c>
      <c r="E337" s="35" t="n">
        <v>2009</v>
      </c>
      <c r="F337" s="38" t="n">
        <v>3345</v>
      </c>
      <c r="G337" s="39" t="n">
        <v>1</v>
      </c>
      <c r="H337" s="40" t="n">
        <v>310</v>
      </c>
    </row>
    <row r="338" s="33" customFormat="true" ht="14.25" hidden="false" customHeight="false" outlineLevel="0" collapsed="false">
      <c r="A338" s="34" t="n">
        <f aca="false">A337+1</f>
        <v>333</v>
      </c>
      <c r="B338" s="35" t="s">
        <v>256</v>
      </c>
      <c r="C338" s="35" t="str">
        <f aca="false">"0040723"</f>
        <v>0040723</v>
      </c>
      <c r="D338" s="37" t="s">
        <v>143</v>
      </c>
      <c r="E338" s="35" t="n">
        <v>2010</v>
      </c>
      <c r="F338" s="38" t="n">
        <v>4238.18</v>
      </c>
      <c r="G338" s="39" t="n">
        <v>1</v>
      </c>
      <c r="H338" s="40" t="n">
        <v>310</v>
      </c>
    </row>
    <row r="339" s="33" customFormat="true" ht="14.25" hidden="false" customHeight="false" outlineLevel="0" collapsed="false">
      <c r="A339" s="34" t="n">
        <f aca="false">A338+1</f>
        <v>334</v>
      </c>
      <c r="B339" s="35" t="s">
        <v>256</v>
      </c>
      <c r="C339" s="35" t="str">
        <f aca="false">"0040839"</f>
        <v>0040839</v>
      </c>
      <c r="D339" s="37" t="s">
        <v>87</v>
      </c>
      <c r="E339" s="35" t="n">
        <v>2010</v>
      </c>
      <c r="F339" s="38" t="n">
        <v>5737</v>
      </c>
      <c r="G339" s="39" t="n">
        <v>1</v>
      </c>
      <c r="H339" s="40" t="n">
        <v>420</v>
      </c>
    </row>
    <row r="340" s="33" customFormat="true" ht="14.25" hidden="false" customHeight="false" outlineLevel="0" collapsed="false">
      <c r="A340" s="34" t="n">
        <f aca="false">A339+1</f>
        <v>335</v>
      </c>
      <c r="B340" s="35" t="s">
        <v>256</v>
      </c>
      <c r="C340" s="35" t="str">
        <f aca="false">"0040958"</f>
        <v>0040958</v>
      </c>
      <c r="D340" s="37" t="s">
        <v>277</v>
      </c>
      <c r="E340" s="35" t="n">
        <v>2010</v>
      </c>
      <c r="F340" s="38" t="n">
        <v>1126.03</v>
      </c>
      <c r="G340" s="39" t="n">
        <v>1</v>
      </c>
      <c r="H340" s="40" t="n">
        <v>80</v>
      </c>
    </row>
    <row r="341" s="33" customFormat="true" ht="14.25" hidden="false" customHeight="false" outlineLevel="0" collapsed="false">
      <c r="A341" s="34" t="n">
        <f aca="false">A340+1</f>
        <v>336</v>
      </c>
      <c r="B341" s="35" t="s">
        <v>256</v>
      </c>
      <c r="C341" s="35" t="str">
        <f aca="false">"0041068"</f>
        <v>0041068</v>
      </c>
      <c r="D341" s="37" t="s">
        <v>278</v>
      </c>
      <c r="E341" s="35" t="n">
        <v>2010</v>
      </c>
      <c r="F341" s="38" t="n">
        <v>4440</v>
      </c>
      <c r="G341" s="39" t="n">
        <v>2</v>
      </c>
      <c r="H341" s="40" t="n">
        <v>640</v>
      </c>
    </row>
    <row r="342" s="33" customFormat="true" ht="14.25" hidden="false" customHeight="false" outlineLevel="0" collapsed="false">
      <c r="A342" s="34" t="n">
        <f aca="false">A341+1</f>
        <v>337</v>
      </c>
      <c r="B342" s="35" t="s">
        <v>256</v>
      </c>
      <c r="C342" s="35" t="str">
        <f aca="false">"0042792"</f>
        <v>0042792</v>
      </c>
      <c r="D342" s="37" t="s">
        <v>279</v>
      </c>
      <c r="E342" s="35" t="n">
        <v>2013</v>
      </c>
      <c r="F342" s="38" t="n">
        <v>1173.15</v>
      </c>
      <c r="G342" s="39" t="n">
        <v>1</v>
      </c>
      <c r="H342" s="40" t="n">
        <v>100</v>
      </c>
    </row>
    <row r="343" s="33" customFormat="true" ht="14.25" hidden="false" customHeight="false" outlineLevel="0" collapsed="false">
      <c r="A343" s="34" t="n">
        <f aca="false">A342+1</f>
        <v>338</v>
      </c>
      <c r="B343" s="35" t="s">
        <v>256</v>
      </c>
      <c r="C343" s="35" t="str">
        <f aca="false">"0044618"</f>
        <v>0044618</v>
      </c>
      <c r="D343" s="37" t="s">
        <v>103</v>
      </c>
      <c r="E343" s="35" t="n">
        <v>2015</v>
      </c>
      <c r="F343" s="38" t="n">
        <v>1012</v>
      </c>
      <c r="G343" s="39" t="n">
        <v>1</v>
      </c>
      <c r="H343" s="40" t="n">
        <v>110</v>
      </c>
    </row>
    <row r="344" s="33" customFormat="true" ht="14.25" hidden="false" customHeight="false" outlineLevel="0" collapsed="false">
      <c r="A344" s="34" t="n">
        <f aca="false">A343+1</f>
        <v>339</v>
      </c>
      <c r="B344" s="35" t="s">
        <v>256</v>
      </c>
      <c r="C344" s="35" t="str">
        <f aca="false">"0044728"</f>
        <v>0044728</v>
      </c>
      <c r="D344" s="37" t="s">
        <v>280</v>
      </c>
      <c r="E344" s="35" t="n">
        <v>2015</v>
      </c>
      <c r="F344" s="38" t="n">
        <v>1030.4</v>
      </c>
      <c r="G344" s="39" t="n">
        <v>1</v>
      </c>
      <c r="H344" s="40" t="n">
        <v>110</v>
      </c>
    </row>
    <row r="345" s="33" customFormat="true" ht="14.25" hidden="false" customHeight="false" outlineLevel="0" collapsed="false">
      <c r="A345" s="34" t="n">
        <f aca="false">A344+1</f>
        <v>340</v>
      </c>
      <c r="B345" s="35" t="s">
        <v>256</v>
      </c>
      <c r="C345" s="35" t="str">
        <f aca="false">"0045503"</f>
        <v>0045503</v>
      </c>
      <c r="D345" s="37" t="s">
        <v>281</v>
      </c>
      <c r="E345" s="35" t="n">
        <v>2016</v>
      </c>
      <c r="F345" s="38" t="n">
        <v>2837.28</v>
      </c>
      <c r="G345" s="39" t="n">
        <v>1</v>
      </c>
      <c r="H345" s="40" t="n">
        <v>320</v>
      </c>
    </row>
    <row r="346" s="33" customFormat="true" ht="14.25" hidden="false" customHeight="false" outlineLevel="0" collapsed="false">
      <c r="A346" s="45" t="n">
        <f aca="false">A345+1</f>
        <v>341</v>
      </c>
      <c r="B346" s="35" t="s">
        <v>282</v>
      </c>
      <c r="C346" s="35" t="str">
        <f aca="false">"0001360"</f>
        <v>0001360</v>
      </c>
      <c r="D346" s="37" t="s">
        <v>283</v>
      </c>
      <c r="E346" s="35" t="n">
        <v>1987</v>
      </c>
      <c r="F346" s="38" t="n">
        <f aca="false">977029.75*1.2</f>
        <v>1172435.7</v>
      </c>
      <c r="G346" s="39" t="n">
        <v>1</v>
      </c>
      <c r="H346" s="40" t="n">
        <v>61550</v>
      </c>
    </row>
    <row r="347" s="33" customFormat="true" ht="14.25" hidden="false" customHeight="false" outlineLevel="0" collapsed="false">
      <c r="A347" s="34" t="n">
        <f aca="false">A346+1</f>
        <v>342</v>
      </c>
      <c r="B347" s="35" t="s">
        <v>282</v>
      </c>
      <c r="C347" s="35" t="str">
        <f aca="false">"0001361"</f>
        <v>0001361</v>
      </c>
      <c r="D347" s="37" t="s">
        <v>284</v>
      </c>
      <c r="E347" s="35" t="n">
        <v>1954</v>
      </c>
      <c r="F347" s="38" t="n">
        <f aca="false">244257.44*1.4</f>
        <v>341960.416</v>
      </c>
      <c r="G347" s="39" t="n">
        <v>1</v>
      </c>
      <c r="H347" s="40" t="n">
        <v>7150</v>
      </c>
    </row>
    <row r="348" s="33" customFormat="true" ht="14.25" hidden="false" customHeight="false" outlineLevel="0" collapsed="false">
      <c r="A348" s="45" t="n">
        <f aca="false">A347+1</f>
        <v>343</v>
      </c>
      <c r="B348" s="35" t="s">
        <v>282</v>
      </c>
      <c r="C348" s="35" t="str">
        <f aca="false">"0001362"</f>
        <v>0001362</v>
      </c>
      <c r="D348" s="37" t="s">
        <v>285</v>
      </c>
      <c r="E348" s="35" t="n">
        <v>1954</v>
      </c>
      <c r="F348" s="38" t="n">
        <f aca="false">488514.87*1.4</f>
        <v>683920.818</v>
      </c>
      <c r="G348" s="39" t="n">
        <v>2</v>
      </c>
      <c r="H348" s="40" t="n">
        <v>28500</v>
      </c>
    </row>
    <row r="349" s="33" customFormat="true" ht="14.25" hidden="false" customHeight="false" outlineLevel="0" collapsed="false">
      <c r="A349" s="34" t="n">
        <f aca="false">A348+1</f>
        <v>344</v>
      </c>
      <c r="B349" s="35" t="s">
        <v>282</v>
      </c>
      <c r="C349" s="35" t="str">
        <f aca="false">"0002182"</f>
        <v>0002182</v>
      </c>
      <c r="D349" s="37" t="s">
        <v>286</v>
      </c>
      <c r="E349" s="35" t="n">
        <v>1987</v>
      </c>
      <c r="F349" s="38" t="n">
        <f aca="false">4885.71*1.2</f>
        <v>5862.852</v>
      </c>
      <c r="G349" s="39" t="n">
        <v>1</v>
      </c>
      <c r="H349" s="40" t="n">
        <v>280</v>
      </c>
    </row>
    <row r="350" s="33" customFormat="true" ht="14.25" hidden="false" customHeight="false" outlineLevel="0" collapsed="false">
      <c r="A350" s="34" t="n">
        <f aca="false">A349+1</f>
        <v>345</v>
      </c>
      <c r="B350" s="35" t="s">
        <v>282</v>
      </c>
      <c r="C350" s="35" t="str">
        <f aca="false">"0002952"</f>
        <v>0002952</v>
      </c>
      <c r="D350" s="37" t="s">
        <v>287</v>
      </c>
      <c r="E350" s="35" t="n">
        <v>1987</v>
      </c>
      <c r="F350" s="38" t="n">
        <v>48851.49</v>
      </c>
      <c r="G350" s="39" t="n">
        <v>1</v>
      </c>
      <c r="H350" s="40" t="n">
        <v>2430</v>
      </c>
    </row>
    <row r="351" s="33" customFormat="true" ht="14.25" hidden="false" customHeight="false" outlineLevel="0" collapsed="false">
      <c r="A351" s="34" t="n">
        <f aca="false">A350+1</f>
        <v>346</v>
      </c>
      <c r="B351" s="35" t="s">
        <v>282</v>
      </c>
      <c r="C351" s="35" t="str">
        <f aca="false">"0003754"</f>
        <v>0003754</v>
      </c>
      <c r="D351" s="37" t="s">
        <v>288</v>
      </c>
      <c r="E351" s="35" t="n">
        <v>1987</v>
      </c>
      <c r="F351" s="38" t="n">
        <v>732772.31</v>
      </c>
      <c r="G351" s="39" t="n">
        <v>1</v>
      </c>
      <c r="H351" s="40" t="n">
        <v>36350</v>
      </c>
    </row>
    <row r="352" s="33" customFormat="true" ht="14.25" hidden="false" customHeight="false" outlineLevel="0" collapsed="false">
      <c r="A352" s="34" t="n">
        <f aca="false">A351+1</f>
        <v>347</v>
      </c>
      <c r="B352" s="35" t="s">
        <v>282</v>
      </c>
      <c r="C352" s="35" t="str">
        <f aca="false">"0007240"</f>
        <v>0007240</v>
      </c>
      <c r="D352" s="37" t="s">
        <v>112</v>
      </c>
      <c r="E352" s="35" t="n">
        <v>1987</v>
      </c>
      <c r="F352" s="38" t="n">
        <v>50.66</v>
      </c>
      <c r="G352" s="39" t="n">
        <v>9</v>
      </c>
      <c r="H352" s="40" t="n">
        <v>45</v>
      </c>
    </row>
    <row r="353" s="33" customFormat="true" ht="14.25" hidden="false" customHeight="false" outlineLevel="0" collapsed="false">
      <c r="A353" s="34" t="n">
        <f aca="false">A352+1</f>
        <v>348</v>
      </c>
      <c r="B353" s="35" t="s">
        <v>282</v>
      </c>
      <c r="C353" s="35" t="str">
        <f aca="false">"0010971"</f>
        <v>0010971</v>
      </c>
      <c r="D353" s="37" t="s">
        <v>152</v>
      </c>
      <c r="E353" s="35" t="n">
        <v>1987</v>
      </c>
      <c r="F353" s="38" t="n">
        <v>50.66</v>
      </c>
      <c r="G353" s="39" t="n">
        <v>1</v>
      </c>
      <c r="H353" s="40" t="n">
        <v>5</v>
      </c>
    </row>
    <row r="354" s="33" customFormat="true" ht="14.25" hidden="false" customHeight="false" outlineLevel="0" collapsed="false">
      <c r="A354" s="34" t="n">
        <f aca="false">A353+1</f>
        <v>349</v>
      </c>
      <c r="B354" s="35" t="s">
        <v>282</v>
      </c>
      <c r="C354" s="35" t="str">
        <f aca="false">"0013309"</f>
        <v>0013309</v>
      </c>
      <c r="D354" s="37" t="s">
        <v>113</v>
      </c>
      <c r="E354" s="35" t="n">
        <v>1987</v>
      </c>
      <c r="F354" s="38" t="n">
        <v>16.89</v>
      </c>
      <c r="G354" s="39" t="n">
        <v>1</v>
      </c>
      <c r="H354" s="40" t="n">
        <v>5</v>
      </c>
    </row>
    <row r="355" s="33" customFormat="true" ht="14.25" hidden="false" customHeight="false" outlineLevel="0" collapsed="false">
      <c r="A355" s="34" t="n">
        <f aca="false">A354+1</f>
        <v>350</v>
      </c>
      <c r="B355" s="35" t="s">
        <v>282</v>
      </c>
      <c r="C355" s="35" t="str">
        <f aca="false">"0013472"</f>
        <v>0013472</v>
      </c>
      <c r="D355" s="37" t="s">
        <v>289</v>
      </c>
      <c r="E355" s="35" t="n">
        <v>2003</v>
      </c>
      <c r="F355" s="38" t="n">
        <v>3738.6</v>
      </c>
      <c r="G355" s="39" t="n">
        <v>1</v>
      </c>
      <c r="H355" s="40" t="n">
        <v>230</v>
      </c>
    </row>
    <row r="356" s="33" customFormat="true" ht="14.25" hidden="false" customHeight="false" outlineLevel="0" collapsed="false">
      <c r="A356" s="34" t="n">
        <f aca="false">A355+1</f>
        <v>351</v>
      </c>
      <c r="B356" s="35" t="s">
        <v>282</v>
      </c>
      <c r="C356" s="35" t="str">
        <f aca="false">"0013859"</f>
        <v>0013859</v>
      </c>
      <c r="D356" s="37" t="s">
        <v>290</v>
      </c>
      <c r="E356" s="35" t="n">
        <v>2003</v>
      </c>
      <c r="F356" s="38" t="n">
        <v>1314.52</v>
      </c>
      <c r="G356" s="39" t="n">
        <v>3</v>
      </c>
      <c r="H356" s="40" t="n">
        <v>240</v>
      </c>
    </row>
    <row r="357" s="33" customFormat="true" ht="14.25" hidden="false" customHeight="false" outlineLevel="0" collapsed="false">
      <c r="A357" s="34" t="n">
        <f aca="false">A356+1</f>
        <v>352</v>
      </c>
      <c r="B357" s="35" t="s">
        <v>282</v>
      </c>
      <c r="C357" s="35" t="str">
        <f aca="false">"0013949"</f>
        <v>0013949</v>
      </c>
      <c r="D357" s="37" t="s">
        <v>291</v>
      </c>
      <c r="E357" s="35" t="n">
        <v>2004</v>
      </c>
      <c r="F357" s="38" t="n">
        <v>43363.83</v>
      </c>
      <c r="G357" s="39" t="n">
        <v>2</v>
      </c>
      <c r="H357" s="40" t="n">
        <v>5560</v>
      </c>
    </row>
    <row r="358" s="33" customFormat="true" ht="14.25" hidden="false" customHeight="false" outlineLevel="0" collapsed="false">
      <c r="A358" s="34" t="n">
        <f aca="false">A357+1</f>
        <v>353</v>
      </c>
      <c r="B358" s="35" t="s">
        <v>282</v>
      </c>
      <c r="C358" s="35" t="str">
        <f aca="false">"0013951"</f>
        <v>0013951</v>
      </c>
      <c r="D358" s="37" t="s">
        <v>292</v>
      </c>
      <c r="E358" s="35" t="n">
        <v>2004</v>
      </c>
      <c r="F358" s="38" t="n">
        <v>20688.12</v>
      </c>
      <c r="G358" s="39" t="n">
        <v>3</v>
      </c>
      <c r="H358" s="40" t="n">
        <v>3990</v>
      </c>
    </row>
    <row r="359" s="33" customFormat="true" ht="14.25" hidden="false" customHeight="false" outlineLevel="0" collapsed="false">
      <c r="A359" s="34" t="n">
        <f aca="false">A358+1</f>
        <v>354</v>
      </c>
      <c r="B359" s="35" t="s">
        <v>282</v>
      </c>
      <c r="C359" s="35" t="str">
        <f aca="false">"0014416"</f>
        <v>0014416</v>
      </c>
      <c r="D359" s="37" t="s">
        <v>293</v>
      </c>
      <c r="E359" s="35" t="n">
        <v>2004</v>
      </c>
      <c r="F359" s="38" t="n">
        <v>1950</v>
      </c>
      <c r="G359" s="39" t="n">
        <v>1</v>
      </c>
      <c r="H359" s="40" t="n">
        <v>125</v>
      </c>
    </row>
    <row r="360" s="33" customFormat="true" ht="14.25" hidden="false" customHeight="false" outlineLevel="0" collapsed="false">
      <c r="A360" s="34" t="n">
        <f aca="false">A359+1</f>
        <v>355</v>
      </c>
      <c r="B360" s="35" t="s">
        <v>282</v>
      </c>
      <c r="C360" s="35" t="str">
        <f aca="false">"0014936"</f>
        <v>0014936</v>
      </c>
      <c r="D360" s="37" t="s">
        <v>294</v>
      </c>
      <c r="E360" s="35" t="n">
        <v>2005</v>
      </c>
      <c r="F360" s="38" t="n">
        <v>3622.4</v>
      </c>
      <c r="G360" s="39" t="n">
        <v>1</v>
      </c>
      <c r="H360" s="40" t="n">
        <v>340</v>
      </c>
    </row>
    <row r="361" s="33" customFormat="true" ht="14.25" hidden="false" customHeight="false" outlineLevel="0" collapsed="false">
      <c r="A361" s="34" t="n">
        <f aca="false">A360+1</f>
        <v>356</v>
      </c>
      <c r="B361" s="35" t="s">
        <v>282</v>
      </c>
      <c r="C361" s="35" t="str">
        <f aca="false">"0014938"</f>
        <v>0014938</v>
      </c>
      <c r="D361" s="37" t="s">
        <v>295</v>
      </c>
      <c r="E361" s="35" t="n">
        <v>2005</v>
      </c>
      <c r="F361" s="38" t="n">
        <v>7751.3</v>
      </c>
      <c r="G361" s="39" t="n">
        <v>1</v>
      </c>
      <c r="H361" s="40" t="n">
        <v>720</v>
      </c>
    </row>
    <row r="362" s="33" customFormat="true" ht="14.25" hidden="false" customHeight="false" outlineLevel="0" collapsed="false">
      <c r="A362" s="34" t="n">
        <f aca="false">A361+1</f>
        <v>357</v>
      </c>
      <c r="B362" s="35" t="s">
        <v>282</v>
      </c>
      <c r="C362" s="35" t="str">
        <f aca="false">"0017436"</f>
        <v>0017436</v>
      </c>
      <c r="D362" s="37" t="s">
        <v>296</v>
      </c>
      <c r="E362" s="35" t="n">
        <v>1987</v>
      </c>
      <c r="F362" s="38" t="n">
        <f aca="false">9771.42*1.2</f>
        <v>11725.704</v>
      </c>
      <c r="G362" s="39" t="n">
        <v>1</v>
      </c>
      <c r="H362" s="40" t="n">
        <v>560</v>
      </c>
    </row>
    <row r="363" s="33" customFormat="true" ht="14.25" hidden="false" customHeight="false" outlineLevel="0" collapsed="false">
      <c r="A363" s="34" t="n">
        <f aca="false">A362+1</f>
        <v>358</v>
      </c>
      <c r="B363" s="35" t="s">
        <v>282</v>
      </c>
      <c r="C363" s="35" t="str">
        <f aca="false">"0019798"</f>
        <v>0019798</v>
      </c>
      <c r="D363" s="37" t="s">
        <v>112</v>
      </c>
      <c r="E363" s="35" t="n">
        <v>1978</v>
      </c>
      <c r="F363" s="38" t="n">
        <v>56.29</v>
      </c>
      <c r="G363" s="39" t="n">
        <v>11</v>
      </c>
      <c r="H363" s="40" t="n">
        <v>55</v>
      </c>
    </row>
    <row r="364" s="33" customFormat="true" ht="14.25" hidden="false" customHeight="false" outlineLevel="0" collapsed="false">
      <c r="A364" s="34" t="n">
        <f aca="false">A363+1</f>
        <v>359</v>
      </c>
      <c r="B364" s="35" t="s">
        <v>282</v>
      </c>
      <c r="C364" s="35" t="str">
        <f aca="false">"0020386"</f>
        <v>0020386</v>
      </c>
      <c r="D364" s="37" t="s">
        <v>112</v>
      </c>
      <c r="E364" s="35" t="n">
        <v>1979</v>
      </c>
      <c r="F364" s="38" t="n">
        <v>213.89</v>
      </c>
      <c r="G364" s="39" t="n">
        <v>1</v>
      </c>
      <c r="H364" s="40" t="n">
        <v>10</v>
      </c>
    </row>
    <row r="365" s="33" customFormat="true" ht="14.25" hidden="false" customHeight="false" outlineLevel="0" collapsed="false">
      <c r="A365" s="34" t="n">
        <f aca="false">A364+1</f>
        <v>360</v>
      </c>
      <c r="B365" s="35" t="s">
        <v>282</v>
      </c>
      <c r="C365" s="35" t="str">
        <f aca="false">"0020390"</f>
        <v>0020390</v>
      </c>
      <c r="D365" s="37" t="s">
        <v>152</v>
      </c>
      <c r="E365" s="35" t="n">
        <v>1979</v>
      </c>
      <c r="F365" s="38" t="n">
        <v>84.43</v>
      </c>
      <c r="G365" s="39" t="n">
        <v>9</v>
      </c>
      <c r="H365" s="40" t="n">
        <v>45</v>
      </c>
    </row>
    <row r="366" s="33" customFormat="true" ht="14.25" hidden="false" customHeight="false" outlineLevel="0" collapsed="false">
      <c r="A366" s="34" t="n">
        <f aca="false">A365+1</f>
        <v>361</v>
      </c>
      <c r="B366" s="35" t="s">
        <v>282</v>
      </c>
      <c r="C366" s="35" t="str">
        <f aca="false">"0028243"</f>
        <v>0028243</v>
      </c>
      <c r="D366" s="37" t="s">
        <v>191</v>
      </c>
      <c r="E366" s="35" t="n">
        <v>1986</v>
      </c>
      <c r="F366" s="38" t="n">
        <v>1795.56</v>
      </c>
      <c r="G366" s="39" t="n">
        <v>16</v>
      </c>
      <c r="H366" s="40" t="n">
        <v>1280</v>
      </c>
    </row>
    <row r="367" s="33" customFormat="true" ht="14.25" hidden="false" customHeight="false" outlineLevel="0" collapsed="false">
      <c r="A367" s="34" t="n">
        <f aca="false">A366+1</f>
        <v>362</v>
      </c>
      <c r="B367" s="35" t="s">
        <v>297</v>
      </c>
      <c r="C367" s="35" t="str">
        <f aca="false">"0000162"</f>
        <v>0000162</v>
      </c>
      <c r="D367" s="37" t="s">
        <v>298</v>
      </c>
      <c r="E367" s="35" t="n">
        <v>1978</v>
      </c>
      <c r="F367" s="38" t="n">
        <f aca="false">34684.05*1.2</f>
        <v>41620.86</v>
      </c>
      <c r="G367" s="39" t="n">
        <v>1</v>
      </c>
      <c r="H367" s="40" t="n">
        <v>1700</v>
      </c>
    </row>
    <row r="368" s="33" customFormat="true" ht="14.25" hidden="false" customHeight="false" outlineLevel="0" collapsed="false">
      <c r="A368" s="34" t="n">
        <f aca="false">A367+1</f>
        <v>363</v>
      </c>
      <c r="B368" s="35" t="s">
        <v>297</v>
      </c>
      <c r="C368" s="35" t="str">
        <f aca="false">"0000180"</f>
        <v>0000180</v>
      </c>
      <c r="D368" s="37" t="s">
        <v>299</v>
      </c>
      <c r="E368" s="35" t="n">
        <v>1979</v>
      </c>
      <c r="F368" s="38" t="n">
        <f aca="false">4885.71*1.2</f>
        <v>5862.852</v>
      </c>
      <c r="G368" s="39" t="n">
        <v>1</v>
      </c>
      <c r="H368" s="40" t="n">
        <v>235</v>
      </c>
    </row>
    <row r="369" s="33" customFormat="true" ht="14.25" hidden="false" customHeight="false" outlineLevel="0" collapsed="false">
      <c r="A369" s="34" t="n">
        <f aca="false">A368+1</f>
        <v>364</v>
      </c>
      <c r="B369" s="35" t="s">
        <v>297</v>
      </c>
      <c r="C369" s="35" t="str">
        <f aca="false">"0000845"</f>
        <v>0000845</v>
      </c>
      <c r="D369" s="37" t="s">
        <v>300</v>
      </c>
      <c r="E369" s="35" t="n">
        <v>1987</v>
      </c>
      <c r="F369" s="38" t="n">
        <f aca="false">4885.71*1.2</f>
        <v>5862.852</v>
      </c>
      <c r="G369" s="39" t="n">
        <v>1</v>
      </c>
      <c r="H369" s="40" t="n">
        <v>280</v>
      </c>
    </row>
    <row r="370" s="33" customFormat="true" ht="14.25" hidden="false" customHeight="false" outlineLevel="0" collapsed="false">
      <c r="A370" s="34" t="n">
        <f aca="false">A369+1</f>
        <v>365</v>
      </c>
      <c r="B370" s="35" t="s">
        <v>297</v>
      </c>
      <c r="C370" s="35" t="str">
        <f aca="false">"0001579"</f>
        <v>0001579</v>
      </c>
      <c r="D370" s="37" t="s">
        <v>301</v>
      </c>
      <c r="E370" s="35" t="n">
        <v>1987</v>
      </c>
      <c r="F370" s="38" t="n">
        <v>28.14</v>
      </c>
      <c r="G370" s="39" t="n">
        <v>1</v>
      </c>
      <c r="H370" s="40" t="n">
        <v>5</v>
      </c>
    </row>
    <row r="371" s="33" customFormat="true" ht="14.25" hidden="false" customHeight="false" outlineLevel="0" collapsed="false">
      <c r="A371" s="34" t="n">
        <f aca="false">A370+1</f>
        <v>366</v>
      </c>
      <c r="B371" s="35" t="s">
        <v>297</v>
      </c>
      <c r="C371" s="35" t="str">
        <f aca="false">"0001733"</f>
        <v>0001733</v>
      </c>
      <c r="D371" s="37" t="s">
        <v>302</v>
      </c>
      <c r="E371" s="35" t="n">
        <v>1987</v>
      </c>
      <c r="F371" s="38" t="n">
        <f aca="false">4885.71*1.2</f>
        <v>5862.852</v>
      </c>
      <c r="G371" s="39" t="n">
        <v>1</v>
      </c>
      <c r="H371" s="40" t="n">
        <v>230</v>
      </c>
    </row>
    <row r="372" s="33" customFormat="true" ht="14.25" hidden="false" customHeight="false" outlineLevel="0" collapsed="false">
      <c r="A372" s="34" t="n">
        <f aca="false">A371+1</f>
        <v>367</v>
      </c>
      <c r="B372" s="35" t="s">
        <v>297</v>
      </c>
      <c r="C372" s="35" t="str">
        <f aca="false">"0004095"</f>
        <v>0004095</v>
      </c>
      <c r="D372" s="37" t="s">
        <v>42</v>
      </c>
      <c r="E372" s="35" t="n">
        <v>1987</v>
      </c>
      <c r="F372" s="38" t="n">
        <v>67.54</v>
      </c>
      <c r="G372" s="39" t="n">
        <v>1</v>
      </c>
      <c r="H372" s="40" t="n">
        <v>5</v>
      </c>
    </row>
    <row r="373" s="33" customFormat="true" ht="14.25" hidden="false" customHeight="false" outlineLevel="0" collapsed="false">
      <c r="A373" s="34" t="n">
        <f aca="false">A372+1</f>
        <v>368</v>
      </c>
      <c r="B373" s="35" t="s">
        <v>297</v>
      </c>
      <c r="C373" s="35" t="str">
        <f aca="false">"0004150"</f>
        <v>0004150</v>
      </c>
      <c r="D373" s="37" t="s">
        <v>303</v>
      </c>
      <c r="E373" s="35" t="n">
        <v>1987</v>
      </c>
      <c r="F373" s="38" t="n">
        <f aca="false">4885.71*1.2</f>
        <v>5862.852</v>
      </c>
      <c r="G373" s="39" t="n">
        <v>1</v>
      </c>
      <c r="H373" s="40" t="n">
        <v>290</v>
      </c>
    </row>
    <row r="374" s="33" customFormat="true" ht="14.25" hidden="false" customHeight="false" outlineLevel="0" collapsed="false">
      <c r="A374" s="34" t="n">
        <f aca="false">A373+1</f>
        <v>369</v>
      </c>
      <c r="B374" s="35" t="s">
        <v>297</v>
      </c>
      <c r="C374" s="35" t="str">
        <f aca="false">"0004507"</f>
        <v>0004507</v>
      </c>
      <c r="D374" s="37" t="s">
        <v>304</v>
      </c>
      <c r="E374" s="35" t="n">
        <v>1987</v>
      </c>
      <c r="F374" s="38" t="n">
        <f aca="false">4885.71*1.2</f>
        <v>5862.852</v>
      </c>
      <c r="G374" s="39" t="n">
        <v>1</v>
      </c>
      <c r="H374" s="40" t="n">
        <v>280</v>
      </c>
    </row>
    <row r="375" s="33" customFormat="true" ht="14.25" hidden="false" customHeight="false" outlineLevel="0" collapsed="false">
      <c r="A375" s="34" t="n">
        <f aca="false">A374+1</f>
        <v>370</v>
      </c>
      <c r="B375" s="35" t="s">
        <v>297</v>
      </c>
      <c r="C375" s="35" t="str">
        <f aca="false">"0004925"</f>
        <v>0004925</v>
      </c>
      <c r="D375" s="37" t="s">
        <v>305</v>
      </c>
      <c r="E375" s="35" t="n">
        <v>1980</v>
      </c>
      <c r="F375" s="38" t="n">
        <f aca="false">4885.71*1.2</f>
        <v>5862.852</v>
      </c>
      <c r="G375" s="39" t="n">
        <v>1</v>
      </c>
      <c r="H375" s="40" t="n">
        <v>240</v>
      </c>
    </row>
    <row r="376" s="33" customFormat="true" ht="14.25" hidden="false" customHeight="false" outlineLevel="0" collapsed="false">
      <c r="A376" s="34" t="n">
        <f aca="false">A375+1</f>
        <v>371</v>
      </c>
      <c r="B376" s="35" t="s">
        <v>297</v>
      </c>
      <c r="C376" s="35" t="str">
        <f aca="false">"0004967"</f>
        <v>0004967</v>
      </c>
      <c r="D376" s="37" t="s">
        <v>42</v>
      </c>
      <c r="E376" s="35" t="n">
        <v>1987</v>
      </c>
      <c r="F376" s="38" t="n">
        <v>56.29</v>
      </c>
      <c r="G376" s="39" t="n">
        <v>2</v>
      </c>
      <c r="H376" s="40" t="n">
        <v>10</v>
      </c>
    </row>
    <row r="377" s="33" customFormat="true" ht="14.25" hidden="false" customHeight="false" outlineLevel="0" collapsed="false">
      <c r="A377" s="46" t="n">
        <f aca="false">A376+1</f>
        <v>372</v>
      </c>
      <c r="B377" s="35" t="s">
        <v>297</v>
      </c>
      <c r="C377" s="35" t="str">
        <f aca="false">"0005031"</f>
        <v>0005031</v>
      </c>
      <c r="D377" s="37" t="s">
        <v>306</v>
      </c>
      <c r="E377" s="35" t="n">
        <v>1980</v>
      </c>
      <c r="F377" s="38" t="n">
        <f aca="false">4200*7.5</f>
        <v>31500</v>
      </c>
      <c r="G377" s="39" t="n">
        <v>1</v>
      </c>
      <c r="H377" s="40" t="n">
        <v>1300</v>
      </c>
    </row>
    <row r="378" s="33" customFormat="true" ht="14.25" hidden="false" customHeight="false" outlineLevel="0" collapsed="false">
      <c r="A378" s="34" t="n">
        <f aca="false">A377+1</f>
        <v>373</v>
      </c>
      <c r="B378" s="35" t="s">
        <v>297</v>
      </c>
      <c r="C378" s="35" t="str">
        <f aca="false">"0005328"</f>
        <v>0005328</v>
      </c>
      <c r="D378" s="37" t="s">
        <v>307</v>
      </c>
      <c r="E378" s="35" t="n">
        <v>1987</v>
      </c>
      <c r="F378" s="38" t="n">
        <v>118.2</v>
      </c>
      <c r="G378" s="39" t="n">
        <v>1</v>
      </c>
      <c r="H378" s="40" t="n">
        <v>5</v>
      </c>
    </row>
    <row r="379" s="33" customFormat="true" ht="14.25" hidden="false" customHeight="false" outlineLevel="0" collapsed="false">
      <c r="A379" s="34" t="n">
        <f aca="false">A378+1</f>
        <v>374</v>
      </c>
      <c r="B379" s="35" t="s">
        <v>297</v>
      </c>
      <c r="C379" s="35" t="str">
        <f aca="false">"0005330"</f>
        <v>0005330</v>
      </c>
      <c r="D379" s="37" t="s">
        <v>301</v>
      </c>
      <c r="E379" s="35" t="n">
        <v>1987</v>
      </c>
      <c r="F379" s="38" t="n">
        <v>28.14</v>
      </c>
      <c r="G379" s="39" t="n">
        <v>1</v>
      </c>
      <c r="H379" s="40" t="n">
        <v>5</v>
      </c>
    </row>
    <row r="380" s="33" customFormat="true" ht="14.25" hidden="false" customHeight="false" outlineLevel="0" collapsed="false">
      <c r="A380" s="34" t="n">
        <f aca="false">A379+1</f>
        <v>375</v>
      </c>
      <c r="B380" s="35" t="s">
        <v>297</v>
      </c>
      <c r="C380" s="35" t="str">
        <f aca="false">"0005332"</f>
        <v>0005332</v>
      </c>
      <c r="D380" s="37" t="s">
        <v>308</v>
      </c>
      <c r="E380" s="35" t="n">
        <v>1987</v>
      </c>
      <c r="F380" s="38" t="n">
        <v>28.14</v>
      </c>
      <c r="G380" s="39" t="n">
        <v>1</v>
      </c>
      <c r="H380" s="40" t="n">
        <v>5</v>
      </c>
    </row>
    <row r="381" s="33" customFormat="true" ht="14.25" hidden="false" customHeight="false" outlineLevel="0" collapsed="false">
      <c r="A381" s="34" t="n">
        <f aca="false">A380+1</f>
        <v>376</v>
      </c>
      <c r="B381" s="35" t="s">
        <v>297</v>
      </c>
      <c r="C381" s="35" t="str">
        <f aca="false">"0005336"</f>
        <v>0005336</v>
      </c>
      <c r="D381" s="37" t="s">
        <v>309</v>
      </c>
      <c r="E381" s="35" t="n">
        <v>1987</v>
      </c>
      <c r="F381" s="38" t="n">
        <f aca="false">1660.47*1.2</f>
        <v>1992.564</v>
      </c>
      <c r="G381" s="39" t="n">
        <v>1</v>
      </c>
      <c r="H381" s="40" t="n">
        <v>100</v>
      </c>
    </row>
    <row r="382" s="33" customFormat="true" ht="14.25" hidden="false" customHeight="false" outlineLevel="0" collapsed="false">
      <c r="A382" s="34" t="n">
        <f aca="false">A381+1</f>
        <v>377</v>
      </c>
      <c r="B382" s="35" t="s">
        <v>297</v>
      </c>
      <c r="C382" s="35" t="str">
        <f aca="false">"0005338"</f>
        <v>0005338</v>
      </c>
      <c r="D382" s="37" t="s">
        <v>42</v>
      </c>
      <c r="E382" s="35" t="n">
        <v>1987</v>
      </c>
      <c r="F382" s="38" t="n">
        <v>61.92</v>
      </c>
      <c r="G382" s="39" t="n">
        <v>1</v>
      </c>
      <c r="H382" s="40" t="n">
        <v>5</v>
      </c>
    </row>
    <row r="383" s="33" customFormat="true" ht="14.25" hidden="false" customHeight="false" outlineLevel="0" collapsed="false">
      <c r="A383" s="34" t="n">
        <f aca="false">A382+1</f>
        <v>378</v>
      </c>
      <c r="B383" s="35" t="s">
        <v>297</v>
      </c>
      <c r="C383" s="35" t="str">
        <f aca="false">"0005340"</f>
        <v>0005340</v>
      </c>
      <c r="D383" s="37" t="s">
        <v>310</v>
      </c>
      <c r="E383" s="35" t="n">
        <v>1987</v>
      </c>
      <c r="F383" s="38" t="n">
        <v>50.66</v>
      </c>
      <c r="G383" s="39" t="n">
        <v>1</v>
      </c>
      <c r="H383" s="40" t="n">
        <v>5</v>
      </c>
    </row>
    <row r="384" s="33" customFormat="true" ht="14.25" hidden="false" customHeight="false" outlineLevel="0" collapsed="false">
      <c r="A384" s="34" t="n">
        <f aca="false">A383+1</f>
        <v>379</v>
      </c>
      <c r="B384" s="35" t="s">
        <v>297</v>
      </c>
      <c r="C384" s="35" t="str">
        <f aca="false">"0005342"</f>
        <v>0005342</v>
      </c>
      <c r="D384" s="37" t="s">
        <v>301</v>
      </c>
      <c r="E384" s="35" t="n">
        <v>1987</v>
      </c>
      <c r="F384" s="38" t="n">
        <v>28.14</v>
      </c>
      <c r="G384" s="39" t="n">
        <v>1</v>
      </c>
      <c r="H384" s="40" t="n">
        <v>5</v>
      </c>
    </row>
    <row r="385" s="33" customFormat="true" ht="14.25" hidden="false" customHeight="false" outlineLevel="0" collapsed="false">
      <c r="A385" s="34" t="n">
        <f aca="false">A384+1</f>
        <v>380</v>
      </c>
      <c r="B385" s="35" t="s">
        <v>297</v>
      </c>
      <c r="C385" s="35" t="str">
        <f aca="false">"0005355"</f>
        <v>0005355</v>
      </c>
      <c r="D385" s="37" t="s">
        <v>311</v>
      </c>
      <c r="E385" s="35" t="n">
        <v>1987</v>
      </c>
      <c r="F385" s="38" t="n">
        <v>28.14</v>
      </c>
      <c r="G385" s="39" t="n">
        <v>1</v>
      </c>
      <c r="H385" s="40" t="n">
        <v>5</v>
      </c>
    </row>
    <row r="386" s="33" customFormat="true" ht="14.25" hidden="false" customHeight="false" outlineLevel="0" collapsed="false">
      <c r="A386" s="34" t="n">
        <f aca="false">A385+1</f>
        <v>381</v>
      </c>
      <c r="B386" s="35" t="s">
        <v>297</v>
      </c>
      <c r="C386" s="35" t="str">
        <f aca="false">"0005441"</f>
        <v>0005441</v>
      </c>
      <c r="D386" s="37" t="s">
        <v>205</v>
      </c>
      <c r="E386" s="35" t="n">
        <v>1987</v>
      </c>
      <c r="F386" s="38" t="n">
        <v>90.06</v>
      </c>
      <c r="G386" s="39" t="n">
        <v>1</v>
      </c>
      <c r="H386" s="40" t="n">
        <v>5</v>
      </c>
    </row>
    <row r="387" s="33" customFormat="true" ht="14.25" hidden="false" customHeight="false" outlineLevel="0" collapsed="false">
      <c r="A387" s="34" t="n">
        <f aca="false">A386+1</f>
        <v>382</v>
      </c>
      <c r="B387" s="35" t="s">
        <v>297</v>
      </c>
      <c r="C387" s="35" t="str">
        <f aca="false">"0005489"</f>
        <v>0005489</v>
      </c>
      <c r="D387" s="37" t="s">
        <v>312</v>
      </c>
      <c r="E387" s="35" t="n">
        <v>1987</v>
      </c>
      <c r="F387" s="38" t="n">
        <v>45.03</v>
      </c>
      <c r="G387" s="39" t="n">
        <v>1</v>
      </c>
      <c r="H387" s="40" t="n">
        <v>5</v>
      </c>
    </row>
    <row r="388" s="33" customFormat="true" ht="14.25" hidden="false" customHeight="false" outlineLevel="0" collapsed="false">
      <c r="A388" s="34" t="n">
        <f aca="false">A387+1</f>
        <v>383</v>
      </c>
      <c r="B388" s="35" t="s">
        <v>297</v>
      </c>
      <c r="C388" s="35" t="str">
        <f aca="false">"0005506"</f>
        <v>0005506</v>
      </c>
      <c r="D388" s="37" t="s">
        <v>42</v>
      </c>
      <c r="E388" s="35" t="n">
        <v>1987</v>
      </c>
      <c r="F388" s="38" t="n">
        <v>45.03</v>
      </c>
      <c r="G388" s="39" t="n">
        <v>1</v>
      </c>
      <c r="H388" s="40" t="n">
        <v>5</v>
      </c>
    </row>
    <row r="389" s="33" customFormat="true" ht="14.25" hidden="false" customHeight="false" outlineLevel="0" collapsed="false">
      <c r="A389" s="34" t="n">
        <f aca="false">A388+1</f>
        <v>384</v>
      </c>
      <c r="B389" s="35" t="s">
        <v>297</v>
      </c>
      <c r="C389" s="35" t="str">
        <f aca="false">"0006508"</f>
        <v>0006508</v>
      </c>
      <c r="D389" s="37" t="s">
        <v>313</v>
      </c>
      <c r="E389" s="35" t="n">
        <v>1985</v>
      </c>
      <c r="F389" s="38" t="n">
        <f aca="false">35933.62*1.2</f>
        <v>43120.344</v>
      </c>
      <c r="G389" s="39" t="n">
        <v>1</v>
      </c>
      <c r="H389" s="40" t="n">
        <v>1890</v>
      </c>
    </row>
    <row r="390" s="33" customFormat="true" ht="14.25" hidden="false" customHeight="false" outlineLevel="0" collapsed="false">
      <c r="A390" s="34" t="n">
        <f aca="false">A389+1</f>
        <v>385</v>
      </c>
      <c r="B390" s="35" t="s">
        <v>297</v>
      </c>
      <c r="C390" s="35" t="str">
        <f aca="false">"0006871"</f>
        <v>0006871</v>
      </c>
      <c r="D390" s="37" t="s">
        <v>314</v>
      </c>
      <c r="E390" s="35" t="n">
        <v>1989</v>
      </c>
      <c r="F390" s="38" t="n">
        <f aca="false">244257.44*1.2</f>
        <v>293108.928</v>
      </c>
      <c r="G390" s="39" t="n">
        <v>1</v>
      </c>
      <c r="H390" s="40" t="n">
        <v>12300</v>
      </c>
    </row>
    <row r="391" s="33" customFormat="true" ht="14.25" hidden="false" customHeight="false" outlineLevel="0" collapsed="false">
      <c r="A391" s="34" t="n">
        <f aca="false">A390+1</f>
        <v>386</v>
      </c>
      <c r="B391" s="35" t="s">
        <v>297</v>
      </c>
      <c r="C391" s="35" t="str">
        <f aca="false">"0007107"</f>
        <v>0007107</v>
      </c>
      <c r="D391" s="37" t="s">
        <v>312</v>
      </c>
      <c r="E391" s="35" t="n">
        <v>1987</v>
      </c>
      <c r="F391" s="38" t="n">
        <v>45.03</v>
      </c>
      <c r="G391" s="39" t="n">
        <v>1</v>
      </c>
      <c r="H391" s="40" t="n">
        <v>5</v>
      </c>
    </row>
    <row r="392" s="33" customFormat="true" ht="14.25" hidden="false" customHeight="false" outlineLevel="0" collapsed="false">
      <c r="A392" s="34" t="n">
        <f aca="false">A391+1</f>
        <v>387</v>
      </c>
      <c r="B392" s="35" t="s">
        <v>297</v>
      </c>
      <c r="C392" s="35" t="str">
        <f aca="false">"0012095"</f>
        <v>0012095</v>
      </c>
      <c r="D392" s="37" t="s">
        <v>315</v>
      </c>
      <c r="E392" s="35" t="n">
        <v>2001</v>
      </c>
      <c r="F392" s="38" t="n">
        <v>1145</v>
      </c>
      <c r="G392" s="39" t="n">
        <v>1</v>
      </c>
      <c r="H392" s="40" t="n">
        <v>70</v>
      </c>
    </row>
    <row r="393" s="33" customFormat="true" ht="14.25" hidden="false" customHeight="false" outlineLevel="0" collapsed="false">
      <c r="A393" s="34" t="n">
        <f aca="false">A392+1</f>
        <v>388</v>
      </c>
      <c r="B393" s="35" t="s">
        <v>297</v>
      </c>
      <c r="C393" s="35" t="str">
        <f aca="false">"0013041"</f>
        <v>0013041</v>
      </c>
      <c r="D393" s="37" t="s">
        <v>316</v>
      </c>
      <c r="E393" s="35" t="n">
        <v>2002</v>
      </c>
      <c r="F393" s="38" t="n">
        <v>2890</v>
      </c>
      <c r="G393" s="39" t="n">
        <v>5</v>
      </c>
      <c r="H393" s="40" t="n">
        <v>1000</v>
      </c>
    </row>
    <row r="394" s="33" customFormat="true" ht="14.25" hidden="false" customHeight="false" outlineLevel="0" collapsed="false">
      <c r="A394" s="34" t="n">
        <f aca="false">A393+1</f>
        <v>389</v>
      </c>
      <c r="B394" s="35" t="s">
        <v>297</v>
      </c>
      <c r="C394" s="35" t="str">
        <f aca="false">"0013046"</f>
        <v>0013046</v>
      </c>
      <c r="D394" s="37" t="s">
        <v>317</v>
      </c>
      <c r="E394" s="35" t="n">
        <v>2002</v>
      </c>
      <c r="F394" s="38" t="n">
        <v>4150</v>
      </c>
      <c r="G394" s="39" t="n">
        <v>5</v>
      </c>
      <c r="H394" s="40" t="n">
        <v>1300</v>
      </c>
    </row>
    <row r="395" s="33" customFormat="true" ht="14.25" hidden="false" customHeight="false" outlineLevel="0" collapsed="false">
      <c r="A395" s="34" t="n">
        <f aca="false">A394+1</f>
        <v>390</v>
      </c>
      <c r="B395" s="35" t="s">
        <v>297</v>
      </c>
      <c r="C395" s="35" t="str">
        <f aca="false">"0013103"</f>
        <v>0013103</v>
      </c>
      <c r="D395" s="37" t="s">
        <v>318</v>
      </c>
      <c r="E395" s="35" t="n">
        <v>2005</v>
      </c>
      <c r="F395" s="38" t="n">
        <v>24875.86</v>
      </c>
      <c r="G395" s="39" t="n">
        <v>1</v>
      </c>
      <c r="H395" s="40" t="n">
        <v>2310</v>
      </c>
    </row>
    <row r="396" s="33" customFormat="true" ht="14.25" hidden="false" customHeight="false" outlineLevel="0" collapsed="false">
      <c r="A396" s="34" t="n">
        <f aca="false">A395+1</f>
        <v>391</v>
      </c>
      <c r="B396" s="35" t="s">
        <v>297</v>
      </c>
      <c r="C396" s="35" t="str">
        <f aca="false">"0014433"</f>
        <v>0014433</v>
      </c>
      <c r="D396" s="37" t="s">
        <v>112</v>
      </c>
      <c r="E396" s="35" t="n">
        <v>1987</v>
      </c>
      <c r="F396" s="38" t="n">
        <v>90.06</v>
      </c>
      <c r="G396" s="39" t="n">
        <v>2</v>
      </c>
      <c r="H396" s="40" t="n">
        <v>10</v>
      </c>
    </row>
    <row r="397" s="33" customFormat="true" ht="14.25" hidden="false" customHeight="false" outlineLevel="0" collapsed="false">
      <c r="A397" s="34" t="n">
        <f aca="false">A396+1</f>
        <v>392</v>
      </c>
      <c r="B397" s="35" t="s">
        <v>297</v>
      </c>
      <c r="C397" s="35" t="str">
        <f aca="false">"0014793"</f>
        <v>0014793</v>
      </c>
      <c r="D397" s="37" t="s">
        <v>41</v>
      </c>
      <c r="E397" s="35" t="n">
        <v>1987</v>
      </c>
      <c r="F397" s="38" t="n">
        <v>16.89</v>
      </c>
      <c r="G397" s="39" t="n">
        <v>1</v>
      </c>
      <c r="H397" s="40" t="n">
        <v>5</v>
      </c>
    </row>
    <row r="398" s="33" customFormat="true" ht="14.25" hidden="false" customHeight="false" outlineLevel="0" collapsed="false">
      <c r="A398" s="34" t="n">
        <f aca="false">A397+1</f>
        <v>393</v>
      </c>
      <c r="B398" s="35" t="s">
        <v>297</v>
      </c>
      <c r="C398" s="35" t="str">
        <f aca="false">"0014837"</f>
        <v>0014837</v>
      </c>
      <c r="D398" s="37" t="s">
        <v>319</v>
      </c>
      <c r="E398" s="35" t="n">
        <v>2005</v>
      </c>
      <c r="F398" s="38" t="n">
        <v>623</v>
      </c>
      <c r="G398" s="39" t="n">
        <v>1</v>
      </c>
      <c r="H398" s="40" t="n">
        <v>60</v>
      </c>
    </row>
    <row r="399" s="33" customFormat="true" ht="14.25" hidden="false" customHeight="false" outlineLevel="0" collapsed="false">
      <c r="A399" s="34" t="n">
        <f aca="false">A398+1</f>
        <v>394</v>
      </c>
      <c r="B399" s="35" t="s">
        <v>297</v>
      </c>
      <c r="C399" s="35" t="str">
        <f aca="false">"0015477"</f>
        <v>0015477</v>
      </c>
      <c r="D399" s="37" t="s">
        <v>320</v>
      </c>
      <c r="E399" s="35" t="n">
        <v>1987</v>
      </c>
      <c r="F399" s="38" t="n">
        <v>34194.35</v>
      </c>
      <c r="G399" s="39" t="n">
        <v>1</v>
      </c>
      <c r="H399" s="40" t="n">
        <v>1700</v>
      </c>
    </row>
    <row r="400" s="33" customFormat="true" ht="14.25" hidden="false" customHeight="false" outlineLevel="0" collapsed="false">
      <c r="A400" s="34" t="n">
        <f aca="false">A399+1</f>
        <v>395</v>
      </c>
      <c r="B400" s="35" t="s">
        <v>297</v>
      </c>
      <c r="C400" s="35" t="str">
        <f aca="false">"0015479"</f>
        <v>0015479</v>
      </c>
      <c r="D400" s="37" t="s">
        <v>321</v>
      </c>
      <c r="E400" s="35" t="n">
        <v>1987</v>
      </c>
      <c r="F400" s="38" t="n">
        <v>34194.35</v>
      </c>
      <c r="G400" s="39" t="n">
        <v>1</v>
      </c>
      <c r="H400" s="40" t="n">
        <v>1700</v>
      </c>
    </row>
    <row r="401" s="33" customFormat="true" ht="14.25" hidden="false" customHeight="false" outlineLevel="0" collapsed="false">
      <c r="A401" s="34" t="n">
        <f aca="false">A400+1</f>
        <v>396</v>
      </c>
      <c r="B401" s="35" t="s">
        <v>297</v>
      </c>
      <c r="C401" s="35" t="str">
        <f aca="false">"0015480"</f>
        <v>0015480</v>
      </c>
      <c r="D401" s="37" t="s">
        <v>322</v>
      </c>
      <c r="E401" s="35" t="n">
        <v>1987</v>
      </c>
      <c r="F401" s="38" t="n">
        <v>34194.35</v>
      </c>
      <c r="G401" s="39" t="n">
        <v>1</v>
      </c>
      <c r="H401" s="40" t="n">
        <v>1700</v>
      </c>
    </row>
    <row r="402" s="33" customFormat="true" ht="14.25" hidden="false" customHeight="false" outlineLevel="0" collapsed="false">
      <c r="A402" s="34" t="n">
        <f aca="false">A401+1</f>
        <v>397</v>
      </c>
      <c r="B402" s="35" t="s">
        <v>297</v>
      </c>
      <c r="C402" s="35" t="str">
        <f aca="false">"0015838"</f>
        <v>0015838</v>
      </c>
      <c r="D402" s="37" t="s">
        <v>323</v>
      </c>
      <c r="E402" s="35" t="n">
        <v>1987</v>
      </c>
      <c r="F402" s="38" t="n">
        <v>24422.93</v>
      </c>
      <c r="G402" s="39" t="n">
        <v>1</v>
      </c>
      <c r="H402" s="40" t="n">
        <v>1200</v>
      </c>
    </row>
    <row r="403" s="33" customFormat="true" ht="14.25" hidden="false" customHeight="false" outlineLevel="0" collapsed="false">
      <c r="A403" s="34" t="n">
        <f aca="false">A402+1</f>
        <v>398</v>
      </c>
      <c r="B403" s="35" t="s">
        <v>297</v>
      </c>
      <c r="C403" s="35" t="str">
        <f aca="false">"0016934"</f>
        <v>0016934</v>
      </c>
      <c r="D403" s="37" t="s">
        <v>324</v>
      </c>
      <c r="E403" s="35" t="n">
        <v>1987</v>
      </c>
      <c r="F403" s="38" t="n">
        <v>24422.93</v>
      </c>
      <c r="G403" s="39" t="n">
        <v>1</v>
      </c>
      <c r="H403" s="40" t="n">
        <v>1210</v>
      </c>
    </row>
    <row r="404" s="33" customFormat="true" ht="14.25" hidden="false" customHeight="false" outlineLevel="0" collapsed="false">
      <c r="A404" s="34" t="n">
        <f aca="false">A403+1</f>
        <v>399</v>
      </c>
      <c r="B404" s="35" t="s">
        <v>297</v>
      </c>
      <c r="C404" s="35" t="str">
        <f aca="false">"0016994"</f>
        <v>0016994</v>
      </c>
      <c r="D404" s="37" t="s">
        <v>325</v>
      </c>
      <c r="E404" s="35" t="n">
        <v>1987</v>
      </c>
      <c r="F404" s="38" t="n">
        <v>2442.86</v>
      </c>
      <c r="G404" s="39" t="n">
        <v>1</v>
      </c>
      <c r="H404" s="40" t="n">
        <v>120</v>
      </c>
    </row>
    <row r="405" s="33" customFormat="true" ht="14.25" hidden="false" customHeight="false" outlineLevel="0" collapsed="false">
      <c r="A405" s="34" t="n">
        <f aca="false">A404+1</f>
        <v>400</v>
      </c>
      <c r="B405" s="35" t="s">
        <v>297</v>
      </c>
      <c r="C405" s="35" t="str">
        <f aca="false">"0019002"</f>
        <v>0019002</v>
      </c>
      <c r="D405" s="37" t="s">
        <v>326</v>
      </c>
      <c r="E405" s="35" t="n">
        <v>1978</v>
      </c>
      <c r="F405" s="38" t="n">
        <v>14657.13</v>
      </c>
      <c r="G405" s="39" t="n">
        <v>1</v>
      </c>
      <c r="H405" s="40" t="n">
        <v>570</v>
      </c>
    </row>
    <row r="406" s="33" customFormat="true" ht="14.25" hidden="false" customHeight="false" outlineLevel="0" collapsed="false">
      <c r="A406" s="34" t="n">
        <f aca="false">A405+1</f>
        <v>401</v>
      </c>
      <c r="B406" s="35" t="s">
        <v>297</v>
      </c>
      <c r="C406" s="35" t="str">
        <f aca="false">"0020356"</f>
        <v>0020356</v>
      </c>
      <c r="D406" s="37" t="s">
        <v>308</v>
      </c>
      <c r="E406" s="35" t="n">
        <v>1979</v>
      </c>
      <c r="F406" s="38" t="n">
        <v>123.83</v>
      </c>
      <c r="G406" s="39" t="n">
        <v>1</v>
      </c>
      <c r="H406" s="40" t="n">
        <v>5</v>
      </c>
    </row>
    <row r="407" s="33" customFormat="true" ht="14.25" hidden="false" customHeight="false" outlineLevel="0" collapsed="false">
      <c r="A407" s="34" t="n">
        <f aca="false">A406+1</f>
        <v>402</v>
      </c>
      <c r="B407" s="35" t="s">
        <v>297</v>
      </c>
      <c r="C407" s="35" t="str">
        <f aca="false">"0020408"</f>
        <v>0020408</v>
      </c>
      <c r="D407" s="37" t="s">
        <v>139</v>
      </c>
      <c r="E407" s="35" t="n">
        <v>1979</v>
      </c>
      <c r="F407" s="38" t="n">
        <v>1052.57</v>
      </c>
      <c r="G407" s="39" t="n">
        <v>1</v>
      </c>
      <c r="H407" s="40" t="n">
        <v>40</v>
      </c>
    </row>
    <row r="408" s="33" customFormat="true" ht="14.25" hidden="false" customHeight="false" outlineLevel="0" collapsed="false">
      <c r="A408" s="34" t="n">
        <f aca="false">A407+1</f>
        <v>403</v>
      </c>
      <c r="B408" s="35" t="s">
        <v>297</v>
      </c>
      <c r="C408" s="35" t="str">
        <f aca="false">"0020433"</f>
        <v>0020433</v>
      </c>
      <c r="D408" s="37" t="s">
        <v>42</v>
      </c>
      <c r="E408" s="35" t="n">
        <v>1979</v>
      </c>
      <c r="F408" s="38" t="n">
        <v>191.38</v>
      </c>
      <c r="G408" s="39" t="n">
        <v>1</v>
      </c>
      <c r="H408" s="40" t="n">
        <v>5</v>
      </c>
    </row>
    <row r="409" s="33" customFormat="true" ht="14.25" hidden="false" customHeight="false" outlineLevel="0" collapsed="false">
      <c r="A409" s="34" t="n">
        <f aca="false">A408+1</f>
        <v>404</v>
      </c>
      <c r="B409" s="35" t="s">
        <v>297</v>
      </c>
      <c r="C409" s="35" t="str">
        <f aca="false">"0020507"</f>
        <v>0020507</v>
      </c>
      <c r="D409" s="37" t="s">
        <v>42</v>
      </c>
      <c r="E409" s="35" t="n">
        <v>1979</v>
      </c>
      <c r="F409" s="38" t="n">
        <v>3968.23</v>
      </c>
      <c r="G409" s="39" t="n">
        <v>1</v>
      </c>
      <c r="H409" s="40" t="n">
        <v>160</v>
      </c>
    </row>
    <row r="410" s="33" customFormat="true" ht="14.25" hidden="false" customHeight="false" outlineLevel="0" collapsed="false">
      <c r="A410" s="34" t="n">
        <f aca="false">A409+1</f>
        <v>405</v>
      </c>
      <c r="B410" s="35" t="s">
        <v>297</v>
      </c>
      <c r="C410" s="35" t="str">
        <f aca="false">"0023656"</f>
        <v>0023656</v>
      </c>
      <c r="D410" s="37" t="s">
        <v>43</v>
      </c>
      <c r="E410" s="35" t="n">
        <v>1982</v>
      </c>
      <c r="F410" s="38" t="n">
        <v>3236.5</v>
      </c>
      <c r="G410" s="39" t="n">
        <v>1</v>
      </c>
      <c r="H410" s="40" t="n">
        <v>140</v>
      </c>
    </row>
    <row r="411" s="33" customFormat="true" ht="14.25" hidden="false" customHeight="false" outlineLevel="0" collapsed="false">
      <c r="A411" s="34" t="n">
        <f aca="false">A410+1</f>
        <v>406</v>
      </c>
      <c r="B411" s="35" t="s">
        <v>297</v>
      </c>
      <c r="C411" s="35" t="str">
        <f aca="false">"0023662"</f>
        <v>0023662</v>
      </c>
      <c r="D411" s="37" t="s">
        <v>139</v>
      </c>
      <c r="E411" s="35" t="n">
        <v>1982</v>
      </c>
      <c r="F411" s="38" t="n">
        <v>1435.32</v>
      </c>
      <c r="G411" s="39" t="n">
        <v>1</v>
      </c>
      <c r="H411" s="40" t="n">
        <v>60</v>
      </c>
    </row>
    <row r="412" s="33" customFormat="true" ht="14.25" hidden="false" customHeight="false" outlineLevel="0" collapsed="false">
      <c r="A412" s="34" t="n">
        <f aca="false">A411+1</f>
        <v>407</v>
      </c>
      <c r="B412" s="35" t="s">
        <v>297</v>
      </c>
      <c r="C412" s="35" t="str">
        <f aca="false">"0023773"</f>
        <v>0023773</v>
      </c>
      <c r="D412" s="37" t="s">
        <v>327</v>
      </c>
      <c r="E412" s="35" t="n">
        <v>1982</v>
      </c>
      <c r="F412" s="38" t="n">
        <v>270.18</v>
      </c>
      <c r="G412" s="39" t="n">
        <v>1</v>
      </c>
      <c r="H412" s="40" t="n">
        <v>10</v>
      </c>
    </row>
    <row r="413" s="33" customFormat="true" ht="14.25" hidden="false" customHeight="false" outlineLevel="0" collapsed="false">
      <c r="A413" s="34" t="n">
        <f aca="false">A412+1</f>
        <v>408</v>
      </c>
      <c r="B413" s="35" t="s">
        <v>297</v>
      </c>
      <c r="C413" s="35" t="str">
        <f aca="false">"0024930"</f>
        <v>0024930</v>
      </c>
      <c r="D413" s="37" t="s">
        <v>42</v>
      </c>
      <c r="E413" s="35" t="n">
        <v>1984</v>
      </c>
      <c r="F413" s="38" t="n">
        <v>2763.69</v>
      </c>
      <c r="G413" s="39" t="n">
        <v>1</v>
      </c>
      <c r="H413" s="40" t="n">
        <v>120</v>
      </c>
    </row>
    <row r="414" s="33" customFormat="true" ht="14.25" hidden="false" customHeight="false" outlineLevel="0" collapsed="false">
      <c r="A414" s="34" t="n">
        <f aca="false">A413+1</f>
        <v>409</v>
      </c>
      <c r="B414" s="35" t="s">
        <v>297</v>
      </c>
      <c r="C414" s="35" t="str">
        <f aca="false">"0025928"</f>
        <v>0025928</v>
      </c>
      <c r="D414" s="37" t="s">
        <v>42</v>
      </c>
      <c r="E414" s="35" t="n">
        <v>1985</v>
      </c>
      <c r="F414" s="38" t="n">
        <v>5386.67</v>
      </c>
      <c r="G414" s="39" t="n">
        <v>1</v>
      </c>
      <c r="H414" s="40" t="n">
        <v>240</v>
      </c>
    </row>
    <row r="415" s="33" customFormat="true" ht="14.25" hidden="false" customHeight="false" outlineLevel="0" collapsed="false">
      <c r="A415" s="34" t="n">
        <f aca="false">A414+1</f>
        <v>410</v>
      </c>
      <c r="B415" s="35" t="s">
        <v>297</v>
      </c>
      <c r="C415" s="35" t="str">
        <f aca="false">"0026185"</f>
        <v>0026185</v>
      </c>
      <c r="D415" s="37" t="s">
        <v>114</v>
      </c>
      <c r="E415" s="35" t="n">
        <v>1985</v>
      </c>
      <c r="F415" s="38" t="n">
        <v>3591.11</v>
      </c>
      <c r="G415" s="39" t="n">
        <v>1</v>
      </c>
      <c r="H415" s="40" t="n">
        <v>160</v>
      </c>
    </row>
    <row r="416" s="33" customFormat="true" ht="14.25" hidden="false" customHeight="false" outlineLevel="0" collapsed="false">
      <c r="A416" s="34" t="n">
        <f aca="false">A415+1</f>
        <v>411</v>
      </c>
      <c r="B416" s="35" t="s">
        <v>297</v>
      </c>
      <c r="C416" s="35" t="str">
        <f aca="false">"0026265"</f>
        <v>0026265</v>
      </c>
      <c r="D416" s="37" t="s">
        <v>243</v>
      </c>
      <c r="E416" s="35" t="n">
        <v>1985</v>
      </c>
      <c r="F416" s="38" t="n">
        <v>2380.94</v>
      </c>
      <c r="G416" s="39" t="n">
        <v>1</v>
      </c>
      <c r="H416" s="40" t="n">
        <v>110</v>
      </c>
    </row>
    <row r="417" s="33" customFormat="true" ht="14.25" hidden="false" customHeight="false" outlineLevel="0" collapsed="false">
      <c r="A417" s="34" t="n">
        <f aca="false">A416+1</f>
        <v>412</v>
      </c>
      <c r="B417" s="35" t="s">
        <v>297</v>
      </c>
      <c r="C417" s="35" t="str">
        <f aca="false">"0031304"</f>
        <v>0031304</v>
      </c>
      <c r="D417" s="37" t="s">
        <v>42</v>
      </c>
      <c r="E417" s="35" t="n">
        <v>1991</v>
      </c>
      <c r="F417" s="38" t="n">
        <v>2527.29</v>
      </c>
      <c r="G417" s="39" t="n">
        <v>1</v>
      </c>
      <c r="H417" s="40" t="n">
        <v>130</v>
      </c>
    </row>
    <row r="418" s="33" customFormat="true" ht="14.25" hidden="false" customHeight="false" outlineLevel="0" collapsed="false">
      <c r="A418" s="34" t="n">
        <f aca="false">A417+1</f>
        <v>413</v>
      </c>
      <c r="B418" s="35" t="s">
        <v>297</v>
      </c>
      <c r="C418" s="35" t="str">
        <f aca="false">"0032056"</f>
        <v>0032056</v>
      </c>
      <c r="D418" s="37" t="s">
        <v>243</v>
      </c>
      <c r="E418" s="35" t="n">
        <v>1996</v>
      </c>
      <c r="F418" s="38" t="n">
        <v>5154.3</v>
      </c>
      <c r="G418" s="39" t="n">
        <v>1</v>
      </c>
      <c r="H418" s="40" t="n">
        <v>290</v>
      </c>
    </row>
    <row r="419" s="33" customFormat="true" ht="14.25" hidden="false" customHeight="false" outlineLevel="0" collapsed="false">
      <c r="A419" s="34" t="n">
        <f aca="false">A418+1</f>
        <v>414</v>
      </c>
      <c r="B419" s="35" t="s">
        <v>297</v>
      </c>
      <c r="C419" s="35" t="str">
        <f aca="false">"0032057"</f>
        <v>0032057</v>
      </c>
      <c r="D419" s="37" t="s">
        <v>57</v>
      </c>
      <c r="E419" s="35" t="n">
        <v>1996</v>
      </c>
      <c r="F419" s="38" t="n">
        <v>1500.75</v>
      </c>
      <c r="G419" s="39" t="n">
        <v>1</v>
      </c>
      <c r="H419" s="40" t="n">
        <v>90</v>
      </c>
    </row>
    <row r="420" s="33" customFormat="true" ht="14.25" hidden="false" customHeight="false" outlineLevel="0" collapsed="false">
      <c r="A420" s="34" t="n">
        <f aca="false">A419+1</f>
        <v>415</v>
      </c>
      <c r="B420" s="35" t="s">
        <v>297</v>
      </c>
      <c r="C420" s="35" t="str">
        <f aca="false">"0032058"</f>
        <v>0032058</v>
      </c>
      <c r="D420" s="37" t="s">
        <v>328</v>
      </c>
      <c r="E420" s="35" t="n">
        <v>1996</v>
      </c>
      <c r="F420" s="38" t="n">
        <v>830.3</v>
      </c>
      <c r="G420" s="39" t="n">
        <v>1</v>
      </c>
      <c r="H420" s="40" t="n">
        <v>50</v>
      </c>
    </row>
    <row r="421" s="33" customFormat="true" ht="14.25" hidden="false" customHeight="false" outlineLevel="0" collapsed="false">
      <c r="A421" s="34" t="n">
        <f aca="false">A420+1</f>
        <v>416</v>
      </c>
      <c r="B421" s="35" t="s">
        <v>297</v>
      </c>
      <c r="C421" s="35" t="str">
        <f aca="false">"0032059"</f>
        <v>0032059</v>
      </c>
      <c r="D421" s="37" t="s">
        <v>329</v>
      </c>
      <c r="E421" s="35" t="n">
        <v>1996</v>
      </c>
      <c r="F421" s="38" t="n">
        <v>874</v>
      </c>
      <c r="G421" s="39" t="n">
        <v>1</v>
      </c>
      <c r="H421" s="40" t="n">
        <v>50</v>
      </c>
    </row>
    <row r="422" s="33" customFormat="true" ht="14.25" hidden="false" customHeight="false" outlineLevel="0" collapsed="false">
      <c r="A422" s="34" t="n">
        <f aca="false">A421+1</f>
        <v>417</v>
      </c>
      <c r="B422" s="35" t="s">
        <v>297</v>
      </c>
      <c r="C422" s="35" t="str">
        <f aca="false">"0032060"</f>
        <v>0032060</v>
      </c>
      <c r="D422" s="37" t="s">
        <v>329</v>
      </c>
      <c r="E422" s="35" t="n">
        <v>1996</v>
      </c>
      <c r="F422" s="38" t="n">
        <v>1137.35</v>
      </c>
      <c r="G422" s="39" t="n">
        <v>1</v>
      </c>
      <c r="H422" s="40" t="n">
        <v>60</v>
      </c>
    </row>
    <row r="423" s="33" customFormat="true" ht="14.25" hidden="false" customHeight="false" outlineLevel="0" collapsed="false">
      <c r="A423" s="34" t="n">
        <f aca="false">A422+1</f>
        <v>418</v>
      </c>
      <c r="B423" s="35" t="s">
        <v>297</v>
      </c>
      <c r="C423" s="35" t="str">
        <f aca="false">"0032313"</f>
        <v>0032313</v>
      </c>
      <c r="D423" s="37" t="s">
        <v>330</v>
      </c>
      <c r="E423" s="35" t="n">
        <v>1999</v>
      </c>
      <c r="F423" s="38" t="n">
        <v>1171.08</v>
      </c>
      <c r="G423" s="39" t="n">
        <v>2</v>
      </c>
      <c r="H423" s="40" t="n">
        <v>140</v>
      </c>
    </row>
    <row r="424" s="33" customFormat="true" ht="14.25" hidden="false" customHeight="false" outlineLevel="0" collapsed="false">
      <c r="A424" s="34" t="n">
        <f aca="false">A423+1</f>
        <v>419</v>
      </c>
      <c r="B424" s="35" t="s">
        <v>297</v>
      </c>
      <c r="C424" s="35" t="str">
        <f aca="false">"0033212"</f>
        <v>0033212</v>
      </c>
      <c r="D424" s="37" t="s">
        <v>331</v>
      </c>
      <c r="E424" s="35" t="n">
        <v>2003</v>
      </c>
      <c r="F424" s="38" t="n">
        <v>1892</v>
      </c>
      <c r="G424" s="39" t="n">
        <v>1</v>
      </c>
      <c r="H424" s="40" t="n">
        <v>120</v>
      </c>
    </row>
    <row r="425" s="33" customFormat="true" ht="14.25" hidden="false" customHeight="false" outlineLevel="0" collapsed="false">
      <c r="A425" s="34" t="n">
        <f aca="false">A424+1</f>
        <v>420</v>
      </c>
      <c r="B425" s="35" t="s">
        <v>297</v>
      </c>
      <c r="C425" s="35" t="str">
        <f aca="false">"0033213"</f>
        <v>0033213</v>
      </c>
      <c r="D425" s="37" t="s">
        <v>332</v>
      </c>
      <c r="E425" s="35" t="n">
        <v>2003</v>
      </c>
      <c r="F425" s="38" t="n">
        <v>956</v>
      </c>
      <c r="G425" s="39" t="n">
        <v>1</v>
      </c>
      <c r="H425" s="40" t="n">
        <v>60</v>
      </c>
    </row>
    <row r="426" s="33" customFormat="true" ht="14.25" hidden="false" customHeight="false" outlineLevel="0" collapsed="false">
      <c r="A426" s="34" t="n">
        <f aca="false">A425+1</f>
        <v>421</v>
      </c>
      <c r="B426" s="35" t="s">
        <v>297</v>
      </c>
      <c r="C426" s="35" t="str">
        <f aca="false">"0033214"</f>
        <v>0033214</v>
      </c>
      <c r="D426" s="37" t="s">
        <v>333</v>
      </c>
      <c r="E426" s="35" t="n">
        <v>2003</v>
      </c>
      <c r="F426" s="38" t="n">
        <v>4696</v>
      </c>
      <c r="G426" s="39" t="n">
        <v>1</v>
      </c>
      <c r="H426" s="40" t="n">
        <v>300</v>
      </c>
    </row>
    <row r="427" s="33" customFormat="true" ht="14.25" hidden="false" customHeight="false" outlineLevel="0" collapsed="false">
      <c r="A427" s="34" t="n">
        <f aca="false">A426+1</f>
        <v>422</v>
      </c>
      <c r="B427" s="35" t="s">
        <v>297</v>
      </c>
      <c r="C427" s="35" t="str">
        <f aca="false">"0036641"</f>
        <v>0036641</v>
      </c>
      <c r="D427" s="37" t="s">
        <v>334</v>
      </c>
      <c r="E427" s="35" t="n">
        <v>2007</v>
      </c>
      <c r="F427" s="38" t="n">
        <v>3655.75</v>
      </c>
      <c r="G427" s="39" t="n">
        <v>1</v>
      </c>
      <c r="H427" s="40" t="n">
        <v>225</v>
      </c>
    </row>
    <row r="428" s="33" customFormat="true" ht="14.25" hidden="false" customHeight="false" outlineLevel="0" collapsed="false">
      <c r="A428" s="34" t="n">
        <f aca="false">A427+1</f>
        <v>423</v>
      </c>
      <c r="B428" s="35" t="s">
        <v>297</v>
      </c>
      <c r="C428" s="35" t="str">
        <f aca="false">"0038469"</f>
        <v>0038469</v>
      </c>
      <c r="D428" s="37" t="s">
        <v>73</v>
      </c>
      <c r="E428" s="35" t="n">
        <v>2008</v>
      </c>
      <c r="F428" s="38" t="n">
        <v>811</v>
      </c>
      <c r="G428" s="39" t="n">
        <v>1</v>
      </c>
      <c r="H428" s="40" t="n">
        <v>50</v>
      </c>
    </row>
    <row r="429" s="33" customFormat="true" ht="14.25" hidden="false" customHeight="false" outlineLevel="0" collapsed="false">
      <c r="A429" s="34" t="n">
        <f aca="false">A428+1</f>
        <v>424</v>
      </c>
      <c r="B429" s="35" t="s">
        <v>297</v>
      </c>
      <c r="C429" s="35" t="str">
        <f aca="false">"0040972"</f>
        <v>0040972</v>
      </c>
      <c r="D429" s="37" t="s">
        <v>335</v>
      </c>
      <c r="E429" s="35" t="n">
        <v>2010</v>
      </c>
      <c r="F429" s="38" t="n">
        <v>556.05</v>
      </c>
      <c r="G429" s="39" t="n">
        <v>1</v>
      </c>
      <c r="H429" s="40" t="n">
        <v>50</v>
      </c>
    </row>
    <row r="430" s="33" customFormat="true" ht="14.25" hidden="false" customHeight="false" outlineLevel="0" collapsed="false">
      <c r="A430" s="34" t="n">
        <f aca="false">A429+1</f>
        <v>425</v>
      </c>
      <c r="B430" s="35" t="s">
        <v>297</v>
      </c>
      <c r="C430" s="35" t="str">
        <f aca="false">"0041775"</f>
        <v>0041775</v>
      </c>
      <c r="D430" s="37" t="s">
        <v>336</v>
      </c>
      <c r="E430" s="35" t="n">
        <v>2012</v>
      </c>
      <c r="F430" s="38" t="n">
        <v>2327.5</v>
      </c>
      <c r="G430" s="39" t="n">
        <v>1</v>
      </c>
      <c r="H430" s="40" t="n">
        <v>550</v>
      </c>
    </row>
    <row r="431" s="33" customFormat="true" ht="14.25" hidden="false" customHeight="false" outlineLevel="0" collapsed="false">
      <c r="A431" s="34" t="n">
        <f aca="false">A430+1</f>
        <v>426</v>
      </c>
      <c r="B431" s="35" t="s">
        <v>297</v>
      </c>
      <c r="C431" s="35" t="str">
        <f aca="false">"0042987"</f>
        <v>0042987</v>
      </c>
      <c r="D431" s="37" t="s">
        <v>337</v>
      </c>
      <c r="E431" s="35" t="n">
        <v>2013</v>
      </c>
      <c r="F431" s="38" t="n">
        <v>481.65</v>
      </c>
      <c r="G431" s="39" t="n">
        <v>1</v>
      </c>
      <c r="H431" s="40" t="n">
        <v>110</v>
      </c>
    </row>
    <row r="432" s="33" customFormat="true" ht="14.25" hidden="false" customHeight="false" outlineLevel="0" collapsed="false">
      <c r="A432" s="34" t="n">
        <f aca="false">A431+1</f>
        <v>427</v>
      </c>
      <c r="B432" s="35" t="s">
        <v>297</v>
      </c>
      <c r="C432" s="35" t="str">
        <f aca="false">"0043881"</f>
        <v>0043881</v>
      </c>
      <c r="D432" s="37" t="s">
        <v>338</v>
      </c>
      <c r="E432" s="35" t="n">
        <v>2014</v>
      </c>
      <c r="F432" s="38" t="n">
        <v>1615</v>
      </c>
      <c r="G432" s="39" t="n">
        <v>4</v>
      </c>
      <c r="H432" s="40" t="n">
        <v>2200</v>
      </c>
    </row>
    <row r="433" s="33" customFormat="true" ht="14.25" hidden="false" customHeight="false" outlineLevel="0" collapsed="false">
      <c r="A433" s="34" t="n">
        <f aca="false">A432+1</f>
        <v>428</v>
      </c>
      <c r="B433" s="35" t="s">
        <v>297</v>
      </c>
      <c r="C433" s="35" t="str">
        <f aca="false">"0043885"</f>
        <v>0043885</v>
      </c>
      <c r="D433" s="37" t="s">
        <v>339</v>
      </c>
      <c r="E433" s="35" t="n">
        <v>2014</v>
      </c>
      <c r="F433" s="38" t="n">
        <v>237.5</v>
      </c>
      <c r="G433" s="39" t="n">
        <v>4</v>
      </c>
      <c r="H433" s="40" t="n">
        <v>240</v>
      </c>
    </row>
    <row r="434" s="33" customFormat="true" ht="14.25" hidden="false" customHeight="false" outlineLevel="0" collapsed="false">
      <c r="A434" s="34" t="n">
        <f aca="false">A433+1</f>
        <v>429</v>
      </c>
      <c r="B434" s="35" t="s">
        <v>297</v>
      </c>
      <c r="C434" s="35" t="str">
        <f aca="false">"0044727"</f>
        <v>0044727</v>
      </c>
      <c r="D434" s="37" t="s">
        <v>340</v>
      </c>
      <c r="E434" s="35" t="n">
        <v>2016</v>
      </c>
      <c r="F434" s="38" t="n">
        <v>1030.4</v>
      </c>
      <c r="G434" s="39" t="n">
        <v>1</v>
      </c>
      <c r="H434" s="40" t="n">
        <v>380</v>
      </c>
    </row>
    <row r="435" s="33" customFormat="true" ht="14.25" hidden="false" customHeight="false" outlineLevel="0" collapsed="false">
      <c r="A435" s="34" t="n">
        <f aca="false">A434+1</f>
        <v>430</v>
      </c>
      <c r="B435" s="35" t="s">
        <v>297</v>
      </c>
      <c r="C435" s="35" t="str">
        <f aca="false">"0044975"</f>
        <v>0044975</v>
      </c>
      <c r="D435" s="37" t="s">
        <v>341</v>
      </c>
      <c r="E435" s="35" t="n">
        <v>2016</v>
      </c>
      <c r="F435" s="38" t="n">
        <v>465</v>
      </c>
      <c r="G435" s="39" t="n">
        <v>2</v>
      </c>
      <c r="H435" s="40" t="n">
        <v>400</v>
      </c>
    </row>
    <row r="436" s="33" customFormat="true" ht="14.25" hidden="false" customHeight="false" outlineLevel="0" collapsed="false">
      <c r="A436" s="34" t="n">
        <f aca="false">A435+1</f>
        <v>431</v>
      </c>
      <c r="B436" s="35" t="s">
        <v>297</v>
      </c>
      <c r="C436" s="35" t="str">
        <f aca="false">"0049302"</f>
        <v>0049302</v>
      </c>
      <c r="D436" s="37" t="s">
        <v>342</v>
      </c>
      <c r="E436" s="35" t="n">
        <v>2017</v>
      </c>
      <c r="F436" s="38" t="n">
        <v>7264</v>
      </c>
      <c r="G436" s="39" t="n">
        <v>1</v>
      </c>
      <c r="H436" s="40" t="n">
        <v>3840</v>
      </c>
    </row>
    <row r="437" s="33" customFormat="true" ht="14.25" hidden="false" customHeight="false" outlineLevel="0" collapsed="false">
      <c r="A437" s="34" t="n">
        <f aca="false">A436+1</f>
        <v>432</v>
      </c>
      <c r="B437" s="35" t="s">
        <v>297</v>
      </c>
      <c r="C437" s="35" t="str">
        <f aca="false">"0049553"</f>
        <v>0049553</v>
      </c>
      <c r="D437" s="37" t="s">
        <v>343</v>
      </c>
      <c r="E437" s="35" t="n">
        <v>2017</v>
      </c>
      <c r="F437" s="38" t="n">
        <v>5815.2</v>
      </c>
      <c r="G437" s="39" t="n">
        <v>1</v>
      </c>
      <c r="H437" s="40" t="n">
        <v>3280</v>
      </c>
    </row>
    <row r="438" s="33" customFormat="true" ht="14.25" hidden="false" customHeight="false" outlineLevel="0" collapsed="false">
      <c r="A438" s="34" t="n">
        <f aca="false">A437+1</f>
        <v>433</v>
      </c>
      <c r="B438" s="35" t="s">
        <v>297</v>
      </c>
      <c r="C438" s="35" t="str">
        <f aca="false">"0049554"</f>
        <v>0049554</v>
      </c>
      <c r="D438" s="37" t="s">
        <v>344</v>
      </c>
      <c r="E438" s="35" t="n">
        <v>2017</v>
      </c>
      <c r="F438" s="38" t="n">
        <v>4577.6</v>
      </c>
      <c r="G438" s="39" t="n">
        <v>1</v>
      </c>
      <c r="H438" s="40" t="n">
        <v>2600</v>
      </c>
    </row>
    <row r="439" s="33" customFormat="true" ht="14.25" hidden="false" customHeight="false" outlineLevel="0" collapsed="false">
      <c r="A439" s="34" t="n">
        <f aca="false">A438+1</f>
        <v>434</v>
      </c>
      <c r="B439" s="35" t="s">
        <v>345</v>
      </c>
      <c r="C439" s="35" t="str">
        <f aca="false">"0001540"</f>
        <v>0001540</v>
      </c>
      <c r="D439" s="37" t="s">
        <v>346</v>
      </c>
      <c r="E439" s="35" t="n">
        <v>2001</v>
      </c>
      <c r="F439" s="38" t="n">
        <v>347.39</v>
      </c>
      <c r="G439" s="39" t="n">
        <v>1</v>
      </c>
      <c r="H439" s="40" t="n">
        <v>20</v>
      </c>
    </row>
    <row r="440" s="33" customFormat="true" ht="14.25" hidden="false" customHeight="false" outlineLevel="0" collapsed="false">
      <c r="A440" s="34" t="n">
        <f aca="false">A439+1</f>
        <v>435</v>
      </c>
      <c r="B440" s="35" t="s">
        <v>345</v>
      </c>
      <c r="C440" s="35" t="str">
        <f aca="false">"0001542"</f>
        <v>0001542</v>
      </c>
      <c r="D440" s="37" t="s">
        <v>346</v>
      </c>
      <c r="E440" s="35" t="n">
        <v>2001</v>
      </c>
      <c r="F440" s="38" t="n">
        <v>908.79</v>
      </c>
      <c r="G440" s="39" t="n">
        <v>4</v>
      </c>
      <c r="H440" s="40" t="n">
        <v>240</v>
      </c>
    </row>
    <row r="441" s="33" customFormat="true" ht="14.25" hidden="false" customHeight="false" outlineLevel="0" collapsed="false">
      <c r="A441" s="34" t="n">
        <f aca="false">A440+1</f>
        <v>436</v>
      </c>
      <c r="B441" s="35" t="s">
        <v>345</v>
      </c>
      <c r="C441" s="35" t="str">
        <f aca="false">"0001546"</f>
        <v>0001546</v>
      </c>
      <c r="D441" s="37" t="s">
        <v>347</v>
      </c>
      <c r="E441" s="35" t="n">
        <v>2001</v>
      </c>
      <c r="F441" s="38" t="n">
        <v>16347.39</v>
      </c>
      <c r="G441" s="39" t="n">
        <v>1</v>
      </c>
      <c r="H441" s="40" t="n">
        <v>1000</v>
      </c>
    </row>
    <row r="442" s="33" customFormat="true" ht="14.25" hidden="false" customHeight="false" outlineLevel="0" collapsed="false">
      <c r="A442" s="34" t="n">
        <f aca="false">A441+1</f>
        <v>437</v>
      </c>
      <c r="B442" s="35" t="s">
        <v>345</v>
      </c>
      <c r="C442" s="35" t="str">
        <f aca="false">"0001589"</f>
        <v>0001589</v>
      </c>
      <c r="D442" s="37" t="s">
        <v>348</v>
      </c>
      <c r="E442" s="35" t="n">
        <v>2001</v>
      </c>
      <c r="F442" s="38" t="n">
        <v>1366.04</v>
      </c>
      <c r="G442" s="39" t="n">
        <v>1</v>
      </c>
      <c r="H442" s="40" t="n">
        <v>80</v>
      </c>
    </row>
    <row r="443" s="33" customFormat="true" ht="14.25" hidden="false" customHeight="false" outlineLevel="0" collapsed="false">
      <c r="A443" s="34" t="n">
        <f aca="false">A442+1</f>
        <v>438</v>
      </c>
      <c r="B443" s="35" t="s">
        <v>345</v>
      </c>
      <c r="C443" s="35" t="str">
        <f aca="false">"0001630"</f>
        <v>0001630</v>
      </c>
      <c r="D443" s="37" t="s">
        <v>349</v>
      </c>
      <c r="E443" s="35" t="n">
        <v>2001</v>
      </c>
      <c r="F443" s="38" t="n">
        <v>1455</v>
      </c>
      <c r="G443" s="39" t="n">
        <v>3</v>
      </c>
      <c r="H443" s="40" t="n">
        <v>270</v>
      </c>
    </row>
    <row r="444" s="33" customFormat="true" ht="14.25" hidden="false" customHeight="false" outlineLevel="0" collapsed="false">
      <c r="A444" s="34" t="n">
        <f aca="false">A443+1</f>
        <v>439</v>
      </c>
      <c r="B444" s="35" t="s">
        <v>345</v>
      </c>
      <c r="C444" s="35" t="str">
        <f aca="false">"0001705"</f>
        <v>0001705</v>
      </c>
      <c r="D444" s="37" t="s">
        <v>350</v>
      </c>
      <c r="E444" s="35" t="n">
        <v>2001</v>
      </c>
      <c r="F444" s="38" t="n">
        <v>1067.95</v>
      </c>
      <c r="G444" s="39" t="n">
        <v>3</v>
      </c>
      <c r="H444" s="40" t="n">
        <v>210</v>
      </c>
    </row>
    <row r="445" s="33" customFormat="true" ht="14.25" hidden="false" customHeight="false" outlineLevel="0" collapsed="false">
      <c r="A445" s="34" t="n">
        <f aca="false">A444+1</f>
        <v>440</v>
      </c>
      <c r="B445" s="35" t="s">
        <v>345</v>
      </c>
      <c r="C445" s="35" t="str">
        <f aca="false">"0001713"</f>
        <v>0001713</v>
      </c>
      <c r="D445" s="37" t="s">
        <v>351</v>
      </c>
      <c r="E445" s="35" t="n">
        <v>2001</v>
      </c>
      <c r="F445" s="38" t="n">
        <v>1410.5</v>
      </c>
      <c r="G445" s="39" t="n">
        <v>3</v>
      </c>
      <c r="H445" s="40" t="n">
        <v>255</v>
      </c>
    </row>
    <row r="446" s="33" customFormat="true" ht="14.25" hidden="false" customHeight="false" outlineLevel="0" collapsed="false">
      <c r="A446" s="34" t="n">
        <f aca="false">A445+1</f>
        <v>441</v>
      </c>
      <c r="B446" s="35" t="s">
        <v>345</v>
      </c>
      <c r="C446" s="35" t="str">
        <f aca="false">"0001773"</f>
        <v>0001773</v>
      </c>
      <c r="D446" s="37" t="s">
        <v>352</v>
      </c>
      <c r="E446" s="35" t="n">
        <v>2001</v>
      </c>
      <c r="F446" s="38" t="n">
        <v>832.52</v>
      </c>
      <c r="G446" s="39" t="n">
        <v>3</v>
      </c>
      <c r="H446" s="40" t="n">
        <v>150</v>
      </c>
    </row>
    <row r="447" s="33" customFormat="true" ht="14.25" hidden="false" customHeight="false" outlineLevel="0" collapsed="false">
      <c r="A447" s="34" t="n">
        <f aca="false">A446+1</f>
        <v>442</v>
      </c>
      <c r="B447" s="35" t="s">
        <v>345</v>
      </c>
      <c r="C447" s="35" t="str">
        <f aca="false">"0001776"</f>
        <v>0001776</v>
      </c>
      <c r="D447" s="37" t="s">
        <v>353</v>
      </c>
      <c r="E447" s="35" t="n">
        <v>2001</v>
      </c>
      <c r="F447" s="38" t="n">
        <v>1165.21</v>
      </c>
      <c r="G447" s="39" t="n">
        <v>3</v>
      </c>
      <c r="H447" s="40" t="n">
        <v>210</v>
      </c>
    </row>
    <row r="448" s="33" customFormat="true" ht="14.25" hidden="false" customHeight="false" outlineLevel="0" collapsed="false">
      <c r="A448" s="34" t="n">
        <f aca="false">A447+1</f>
        <v>443</v>
      </c>
      <c r="B448" s="35" t="s">
        <v>345</v>
      </c>
      <c r="C448" s="35" t="str">
        <f aca="false">"0001779"</f>
        <v>0001779</v>
      </c>
      <c r="D448" s="37" t="s">
        <v>354</v>
      </c>
      <c r="E448" s="35" t="n">
        <v>2001</v>
      </c>
      <c r="F448" s="38" t="n">
        <v>1220.91</v>
      </c>
      <c r="G448" s="39" t="n">
        <v>3</v>
      </c>
      <c r="H448" s="40" t="n">
        <v>225</v>
      </c>
    </row>
    <row r="449" s="33" customFormat="true" ht="14.25" hidden="false" customHeight="false" outlineLevel="0" collapsed="false">
      <c r="A449" s="34" t="n">
        <f aca="false">A448+1</f>
        <v>444</v>
      </c>
      <c r="B449" s="35" t="s">
        <v>345</v>
      </c>
      <c r="C449" s="35" t="str">
        <f aca="false">"0001813"</f>
        <v>0001813</v>
      </c>
      <c r="D449" s="37" t="s">
        <v>355</v>
      </c>
      <c r="E449" s="35" t="n">
        <v>2001</v>
      </c>
      <c r="F449" s="38" t="n">
        <v>1746.21</v>
      </c>
      <c r="G449" s="39" t="n">
        <v>4</v>
      </c>
      <c r="H449" s="40" t="n">
        <v>440</v>
      </c>
    </row>
    <row r="450" s="33" customFormat="true" ht="14.25" hidden="false" customHeight="false" outlineLevel="0" collapsed="false">
      <c r="A450" s="34" t="n">
        <f aca="false">A449+1</f>
        <v>445</v>
      </c>
      <c r="B450" s="35" t="s">
        <v>345</v>
      </c>
      <c r="C450" s="35" t="str">
        <f aca="false">"0001817"</f>
        <v>0001817</v>
      </c>
      <c r="D450" s="37" t="s">
        <v>356</v>
      </c>
      <c r="E450" s="35" t="n">
        <v>2001</v>
      </c>
      <c r="F450" s="38" t="n">
        <v>859.84</v>
      </c>
      <c r="G450" s="39" t="n">
        <v>2</v>
      </c>
      <c r="H450" s="40" t="n">
        <v>100</v>
      </c>
    </row>
    <row r="451" s="33" customFormat="true" ht="14.25" hidden="false" customHeight="false" outlineLevel="0" collapsed="false">
      <c r="A451" s="34" t="n">
        <f aca="false">A450+1</f>
        <v>446</v>
      </c>
      <c r="B451" s="35" t="s">
        <v>345</v>
      </c>
      <c r="C451" s="35" t="str">
        <f aca="false">"0001839"</f>
        <v>0001839</v>
      </c>
      <c r="D451" s="37" t="s">
        <v>357</v>
      </c>
      <c r="E451" s="35" t="n">
        <v>2001</v>
      </c>
      <c r="F451" s="38" t="n">
        <v>2281.5</v>
      </c>
      <c r="G451" s="39" t="n">
        <v>1</v>
      </c>
      <c r="H451" s="40" t="n">
        <v>140</v>
      </c>
    </row>
    <row r="452" s="33" customFormat="true" ht="14.25" hidden="false" customHeight="false" outlineLevel="0" collapsed="false">
      <c r="A452" s="34" t="n">
        <f aca="false">A451+1</f>
        <v>447</v>
      </c>
      <c r="B452" s="35" t="s">
        <v>345</v>
      </c>
      <c r="C452" s="35" t="str">
        <f aca="false">"0001841"</f>
        <v>0001841</v>
      </c>
      <c r="D452" s="37" t="s">
        <v>358</v>
      </c>
      <c r="E452" s="35" t="n">
        <v>2001</v>
      </c>
      <c r="F452" s="38" t="n">
        <v>1034.93</v>
      </c>
      <c r="G452" s="39" t="n">
        <v>3</v>
      </c>
      <c r="H452" s="40" t="n">
        <v>180</v>
      </c>
    </row>
    <row r="453" s="33" customFormat="true" ht="14.25" hidden="false" customHeight="false" outlineLevel="0" collapsed="false">
      <c r="A453" s="34" t="n">
        <f aca="false">A452+1</f>
        <v>448</v>
      </c>
      <c r="B453" s="35" t="s">
        <v>345</v>
      </c>
      <c r="C453" s="35" t="str">
        <f aca="false">"0001850"</f>
        <v>0001850</v>
      </c>
      <c r="D453" s="37" t="s">
        <v>359</v>
      </c>
      <c r="E453" s="35" t="n">
        <v>1987</v>
      </c>
      <c r="F453" s="38" t="n">
        <v>14657.13</v>
      </c>
      <c r="G453" s="39" t="n">
        <v>1</v>
      </c>
      <c r="H453" s="40" t="n">
        <v>730</v>
      </c>
    </row>
    <row r="454" s="33" customFormat="true" ht="14.25" hidden="false" customHeight="false" outlineLevel="0" collapsed="false">
      <c r="A454" s="34" t="n">
        <f aca="false">A453+1</f>
        <v>449</v>
      </c>
      <c r="B454" s="35" t="s">
        <v>345</v>
      </c>
      <c r="C454" s="35" t="str">
        <f aca="false">"0001852"</f>
        <v>0001852</v>
      </c>
      <c r="D454" s="37" t="s">
        <v>360</v>
      </c>
      <c r="E454" s="35" t="n">
        <v>1987</v>
      </c>
      <c r="F454" s="38" t="n">
        <f aca="false">4885.71*1.2</f>
        <v>5862.852</v>
      </c>
      <c r="G454" s="39" t="n">
        <v>1</v>
      </c>
      <c r="H454" s="40" t="n">
        <v>290</v>
      </c>
    </row>
    <row r="455" s="33" customFormat="true" ht="14.25" hidden="false" customHeight="false" outlineLevel="0" collapsed="false">
      <c r="A455" s="34" t="n">
        <f aca="false">A454+1</f>
        <v>450</v>
      </c>
      <c r="B455" s="35" t="s">
        <v>345</v>
      </c>
      <c r="C455" s="35" t="str">
        <f aca="false">"0001854"</f>
        <v>0001854</v>
      </c>
      <c r="D455" s="37" t="s">
        <v>361</v>
      </c>
      <c r="E455" s="35" t="n">
        <v>2001</v>
      </c>
      <c r="F455" s="38" t="n">
        <v>462</v>
      </c>
      <c r="G455" s="39" t="n">
        <v>2</v>
      </c>
      <c r="H455" s="40" t="n">
        <v>60</v>
      </c>
    </row>
    <row r="456" s="33" customFormat="true" ht="14.25" hidden="false" customHeight="false" outlineLevel="0" collapsed="false">
      <c r="A456" s="34" t="n">
        <f aca="false">A455+1</f>
        <v>451</v>
      </c>
      <c r="B456" s="35" t="s">
        <v>345</v>
      </c>
      <c r="C456" s="35" t="str">
        <f aca="false">"0001856"</f>
        <v>0001856</v>
      </c>
      <c r="D456" s="37" t="s">
        <v>361</v>
      </c>
      <c r="E456" s="35" t="n">
        <v>2001</v>
      </c>
      <c r="F456" s="38" t="n">
        <v>1979.5</v>
      </c>
      <c r="G456" s="39" t="n">
        <v>3</v>
      </c>
      <c r="H456" s="40" t="n">
        <v>360</v>
      </c>
    </row>
    <row r="457" s="33" customFormat="true" ht="14.25" hidden="false" customHeight="false" outlineLevel="0" collapsed="false">
      <c r="A457" s="34" t="n">
        <f aca="false">A456+1</f>
        <v>452</v>
      </c>
      <c r="B457" s="35" t="s">
        <v>345</v>
      </c>
      <c r="C457" s="35" t="str">
        <f aca="false">"0001865"</f>
        <v>0001865</v>
      </c>
      <c r="D457" s="37" t="s">
        <v>362</v>
      </c>
      <c r="E457" s="35" t="n">
        <v>1987</v>
      </c>
      <c r="F457" s="38" t="n">
        <f aca="false">24422.93*1.2</f>
        <v>29307.516</v>
      </c>
      <c r="G457" s="39" t="n">
        <v>1</v>
      </c>
      <c r="H457" s="40" t="n">
        <v>1450</v>
      </c>
    </row>
    <row r="458" s="33" customFormat="true" ht="14.25" hidden="false" customHeight="false" outlineLevel="0" collapsed="false">
      <c r="A458" s="34" t="n">
        <f aca="false">A457+1</f>
        <v>453</v>
      </c>
      <c r="B458" s="35" t="s">
        <v>345</v>
      </c>
      <c r="C458" s="35" t="str">
        <f aca="false">"0001874"</f>
        <v>0001874</v>
      </c>
      <c r="D458" s="37" t="s">
        <v>363</v>
      </c>
      <c r="E458" s="35" t="n">
        <v>2001</v>
      </c>
      <c r="F458" s="38" t="n">
        <v>2612.29</v>
      </c>
      <c r="G458" s="39" t="n">
        <v>2</v>
      </c>
      <c r="H458" s="40" t="n">
        <v>330</v>
      </c>
    </row>
    <row r="459" s="33" customFormat="true" ht="14.25" hidden="false" customHeight="false" outlineLevel="0" collapsed="false">
      <c r="A459" s="34" t="n">
        <f aca="false">A458+1</f>
        <v>454</v>
      </c>
      <c r="B459" s="35" t="s">
        <v>345</v>
      </c>
      <c r="C459" s="35" t="str">
        <f aca="false">"0001876"</f>
        <v>0001876</v>
      </c>
      <c r="D459" s="37" t="s">
        <v>364</v>
      </c>
      <c r="E459" s="35" t="n">
        <v>2001</v>
      </c>
      <c r="F459" s="38" t="n">
        <v>2389.5</v>
      </c>
      <c r="G459" s="39" t="n">
        <v>1</v>
      </c>
      <c r="H459" s="40" t="n">
        <v>150</v>
      </c>
    </row>
    <row r="460" s="33" customFormat="true" ht="14.25" hidden="false" customHeight="false" outlineLevel="0" collapsed="false">
      <c r="A460" s="34" t="n">
        <f aca="false">A459+1</f>
        <v>455</v>
      </c>
      <c r="B460" s="35" t="s">
        <v>345</v>
      </c>
      <c r="C460" s="35" t="str">
        <f aca="false">"0001882"</f>
        <v>0001882</v>
      </c>
      <c r="D460" s="37" t="s">
        <v>365</v>
      </c>
      <c r="E460" s="35" t="n">
        <v>2001</v>
      </c>
      <c r="F460" s="38" t="n">
        <v>1325.23</v>
      </c>
      <c r="G460" s="39" t="n">
        <v>1</v>
      </c>
      <c r="H460" s="40" t="n">
        <v>80</v>
      </c>
    </row>
    <row r="461" s="33" customFormat="true" ht="14.25" hidden="false" customHeight="false" outlineLevel="0" collapsed="false">
      <c r="A461" s="34" t="n">
        <f aca="false">A460+1</f>
        <v>456</v>
      </c>
      <c r="B461" s="35" t="s">
        <v>345</v>
      </c>
      <c r="C461" s="35" t="str">
        <f aca="false">"0001883"</f>
        <v>0001883</v>
      </c>
      <c r="D461" s="37" t="s">
        <v>365</v>
      </c>
      <c r="E461" s="35" t="n">
        <v>2001</v>
      </c>
      <c r="F461" s="38" t="n">
        <v>1170.6</v>
      </c>
      <c r="G461" s="39" t="n">
        <v>2</v>
      </c>
      <c r="H461" s="40" t="n">
        <v>140</v>
      </c>
    </row>
    <row r="462" s="33" customFormat="true" ht="14.25" hidden="false" customHeight="false" outlineLevel="0" collapsed="false">
      <c r="A462" s="34" t="n">
        <f aca="false">A461+1</f>
        <v>457</v>
      </c>
      <c r="B462" s="35" t="s">
        <v>345</v>
      </c>
      <c r="C462" s="35" t="str">
        <f aca="false">"0001898"</f>
        <v>0001898</v>
      </c>
      <c r="D462" s="37" t="s">
        <v>366</v>
      </c>
      <c r="E462" s="35" t="n">
        <v>2001</v>
      </c>
      <c r="F462" s="38" t="n">
        <v>3154</v>
      </c>
      <c r="G462" s="39" t="n">
        <v>2</v>
      </c>
      <c r="H462" s="40" t="n">
        <v>400</v>
      </c>
    </row>
    <row r="463" s="33" customFormat="true" ht="14.25" hidden="false" customHeight="false" outlineLevel="0" collapsed="false">
      <c r="A463" s="34" t="n">
        <f aca="false">A462+1</f>
        <v>458</v>
      </c>
      <c r="B463" s="35" t="s">
        <v>345</v>
      </c>
      <c r="C463" s="35" t="str">
        <f aca="false">"0001900"</f>
        <v>0001900</v>
      </c>
      <c r="D463" s="37" t="s">
        <v>367</v>
      </c>
      <c r="E463" s="35" t="n">
        <v>2001</v>
      </c>
      <c r="F463" s="38" t="n">
        <v>196.67</v>
      </c>
      <c r="G463" s="39" t="n">
        <v>9</v>
      </c>
      <c r="H463" s="40" t="n">
        <v>90</v>
      </c>
    </row>
    <row r="464" s="33" customFormat="true" ht="14.25" hidden="false" customHeight="false" outlineLevel="0" collapsed="false">
      <c r="A464" s="34" t="n">
        <f aca="false">A463+1</f>
        <v>459</v>
      </c>
      <c r="B464" s="35" t="s">
        <v>345</v>
      </c>
      <c r="C464" s="35" t="str">
        <f aca="false">"0001916"</f>
        <v>0001916</v>
      </c>
      <c r="D464" s="37" t="s">
        <v>368</v>
      </c>
      <c r="E464" s="35" t="n">
        <v>2001</v>
      </c>
      <c r="F464" s="38" t="n">
        <v>2083.66</v>
      </c>
      <c r="G464" s="39" t="n">
        <v>3</v>
      </c>
      <c r="H464" s="40" t="n">
        <v>375</v>
      </c>
    </row>
    <row r="465" s="33" customFormat="true" ht="14.25" hidden="false" customHeight="false" outlineLevel="0" collapsed="false">
      <c r="A465" s="34" t="n">
        <f aca="false">A464+1</f>
        <v>460</v>
      </c>
      <c r="B465" s="35" t="s">
        <v>345</v>
      </c>
      <c r="C465" s="35" t="str">
        <f aca="false">"0001924"</f>
        <v>0001924</v>
      </c>
      <c r="D465" s="37" t="s">
        <v>369</v>
      </c>
      <c r="E465" s="35" t="n">
        <v>2001</v>
      </c>
      <c r="F465" s="38" t="n">
        <v>1208.29</v>
      </c>
      <c r="G465" s="39" t="n">
        <v>2</v>
      </c>
      <c r="H465" s="40" t="n">
        <v>140</v>
      </c>
    </row>
    <row r="466" s="33" customFormat="true" ht="14.25" hidden="false" customHeight="false" outlineLevel="0" collapsed="false">
      <c r="A466" s="34" t="n">
        <f aca="false">A465+1</f>
        <v>461</v>
      </c>
      <c r="B466" s="35" t="s">
        <v>345</v>
      </c>
      <c r="C466" s="35" t="str">
        <f aca="false">"0001927"</f>
        <v>0001927</v>
      </c>
      <c r="D466" s="37" t="s">
        <v>370</v>
      </c>
      <c r="E466" s="35" t="n">
        <v>2001</v>
      </c>
      <c r="F466" s="38" t="n">
        <v>1748.3</v>
      </c>
      <c r="G466" s="39" t="n">
        <v>1</v>
      </c>
      <c r="H466" s="40" t="n">
        <v>110</v>
      </c>
    </row>
    <row r="467" s="33" customFormat="true" ht="14.25" hidden="false" customHeight="false" outlineLevel="0" collapsed="false">
      <c r="A467" s="34" t="n">
        <f aca="false">A466+1</f>
        <v>462</v>
      </c>
      <c r="B467" s="35" t="s">
        <v>345</v>
      </c>
      <c r="C467" s="35" t="str">
        <f aca="false">"0001930"</f>
        <v>0001930</v>
      </c>
      <c r="D467" s="37" t="s">
        <v>371</v>
      </c>
      <c r="E467" s="35" t="n">
        <v>2001</v>
      </c>
      <c r="F467" s="38" t="n">
        <v>5366.3</v>
      </c>
      <c r="G467" s="39" t="n">
        <v>1</v>
      </c>
      <c r="H467" s="40" t="n">
        <v>330</v>
      </c>
    </row>
    <row r="468" s="33" customFormat="true" ht="14.25" hidden="false" customHeight="false" outlineLevel="0" collapsed="false">
      <c r="A468" s="34" t="n">
        <f aca="false">A467+1</f>
        <v>463</v>
      </c>
      <c r="B468" s="35" t="s">
        <v>345</v>
      </c>
      <c r="C468" s="35" t="str">
        <f aca="false">"0001948"</f>
        <v>0001948</v>
      </c>
      <c r="D468" s="37" t="s">
        <v>372</v>
      </c>
      <c r="E468" s="35" t="n">
        <v>2001</v>
      </c>
      <c r="F468" s="38" t="n">
        <v>32009.75</v>
      </c>
      <c r="G468" s="39" t="n">
        <v>1</v>
      </c>
      <c r="H468" s="40" t="n">
        <v>2000</v>
      </c>
    </row>
    <row r="469" s="33" customFormat="true" ht="14.25" hidden="false" customHeight="false" outlineLevel="0" collapsed="false">
      <c r="A469" s="34" t="n">
        <f aca="false">A468+1</f>
        <v>464</v>
      </c>
      <c r="B469" s="35" t="s">
        <v>345</v>
      </c>
      <c r="C469" s="35" t="str">
        <f aca="false">"0001953"</f>
        <v>0001953</v>
      </c>
      <c r="D469" s="37" t="s">
        <v>114</v>
      </c>
      <c r="E469" s="35" t="n">
        <v>1974</v>
      </c>
      <c r="F469" s="38" t="n">
        <v>33.77</v>
      </c>
      <c r="G469" s="39" t="n">
        <v>1</v>
      </c>
      <c r="H469" s="40" t="n">
        <v>5</v>
      </c>
    </row>
    <row r="470" s="33" customFormat="true" ht="14.25" hidden="false" customHeight="false" outlineLevel="0" collapsed="false">
      <c r="A470" s="34" t="n">
        <f aca="false">A469+1</f>
        <v>465</v>
      </c>
      <c r="B470" s="35" t="s">
        <v>345</v>
      </c>
      <c r="C470" s="35" t="str">
        <f aca="false">"0001976"</f>
        <v>0001976</v>
      </c>
      <c r="D470" s="37" t="s">
        <v>373</v>
      </c>
      <c r="E470" s="35" t="n">
        <v>2001</v>
      </c>
      <c r="F470" s="38" t="n">
        <v>1208.29</v>
      </c>
      <c r="G470" s="39" t="n">
        <v>2</v>
      </c>
      <c r="H470" s="40" t="n">
        <v>140</v>
      </c>
    </row>
    <row r="471" s="33" customFormat="true" ht="14.25" hidden="false" customHeight="false" outlineLevel="0" collapsed="false">
      <c r="A471" s="34" t="n">
        <f aca="false">A470+1</f>
        <v>466</v>
      </c>
      <c r="B471" s="35" t="s">
        <v>345</v>
      </c>
      <c r="C471" s="35" t="str">
        <f aca="false">"0001978"</f>
        <v>0001978</v>
      </c>
      <c r="D471" s="37" t="s">
        <v>374</v>
      </c>
      <c r="E471" s="35" t="n">
        <v>2001</v>
      </c>
      <c r="F471" s="38" t="n">
        <v>1013.26</v>
      </c>
      <c r="G471" s="39" t="n">
        <v>3</v>
      </c>
      <c r="H471" s="40" t="n">
        <v>180</v>
      </c>
    </row>
    <row r="472" s="33" customFormat="true" ht="14.25" hidden="false" customHeight="false" outlineLevel="0" collapsed="false">
      <c r="A472" s="34" t="n">
        <f aca="false">A471+1</f>
        <v>467</v>
      </c>
      <c r="B472" s="35" t="s">
        <v>345</v>
      </c>
      <c r="C472" s="35" t="str">
        <f aca="false">"0001988"</f>
        <v>0001988</v>
      </c>
      <c r="D472" s="37" t="s">
        <v>375</v>
      </c>
      <c r="E472" s="35" t="n">
        <v>2001</v>
      </c>
      <c r="F472" s="38" t="n">
        <v>1543.24</v>
      </c>
      <c r="G472" s="39" t="n">
        <v>1</v>
      </c>
      <c r="H472" s="40" t="n">
        <v>90</v>
      </c>
    </row>
    <row r="473" s="33" customFormat="true" ht="14.25" hidden="false" customHeight="false" outlineLevel="0" collapsed="false">
      <c r="A473" s="34" t="n">
        <f aca="false">A472+1</f>
        <v>468</v>
      </c>
      <c r="B473" s="35" t="s">
        <v>345</v>
      </c>
      <c r="C473" s="35" t="str">
        <f aca="false">"0001989"</f>
        <v>0001989</v>
      </c>
      <c r="D473" s="37" t="s">
        <v>376</v>
      </c>
      <c r="E473" s="35" t="n">
        <v>2001</v>
      </c>
      <c r="F473" s="38" t="n">
        <v>1061.11</v>
      </c>
      <c r="G473" s="39" t="n">
        <v>2</v>
      </c>
      <c r="H473" s="40" t="n">
        <v>130</v>
      </c>
    </row>
    <row r="474" s="33" customFormat="true" ht="14.25" hidden="false" customHeight="false" outlineLevel="0" collapsed="false">
      <c r="A474" s="34" t="n">
        <f aca="false">A473+1</f>
        <v>469</v>
      </c>
      <c r="B474" s="35" t="s">
        <v>345</v>
      </c>
      <c r="C474" s="35" t="str">
        <f aca="false">"0001993"</f>
        <v>0001993</v>
      </c>
      <c r="D474" s="37" t="s">
        <v>377</v>
      </c>
      <c r="E474" s="35" t="n">
        <v>2001</v>
      </c>
      <c r="F474" s="38" t="n">
        <v>539.78</v>
      </c>
      <c r="G474" s="39" t="n">
        <v>1</v>
      </c>
      <c r="H474" s="40" t="n">
        <v>30</v>
      </c>
    </row>
    <row r="475" s="33" customFormat="true" ht="14.25" hidden="false" customHeight="false" outlineLevel="0" collapsed="false">
      <c r="A475" s="34" t="n">
        <f aca="false">A474+1</f>
        <v>470</v>
      </c>
      <c r="B475" s="35" t="s">
        <v>345</v>
      </c>
      <c r="C475" s="35" t="str">
        <f aca="false">"0001995"</f>
        <v>0001995</v>
      </c>
      <c r="D475" s="37" t="s">
        <v>378</v>
      </c>
      <c r="E475" s="35" t="n">
        <v>2001</v>
      </c>
      <c r="F475" s="38" t="n">
        <v>823.15</v>
      </c>
      <c r="G475" s="39" t="n">
        <v>1</v>
      </c>
      <c r="H475" s="40" t="n">
        <v>50</v>
      </c>
    </row>
    <row r="476" s="33" customFormat="true" ht="14.25" hidden="false" customHeight="false" outlineLevel="0" collapsed="false">
      <c r="A476" s="34" t="n">
        <f aca="false">A475+1</f>
        <v>471</v>
      </c>
      <c r="B476" s="35" t="s">
        <v>345</v>
      </c>
      <c r="C476" s="35" t="str">
        <f aca="false">"0001996"</f>
        <v>0001996</v>
      </c>
      <c r="D476" s="37" t="s">
        <v>379</v>
      </c>
      <c r="E476" s="35" t="n">
        <v>2001</v>
      </c>
      <c r="F476" s="38" t="n">
        <v>1091.15</v>
      </c>
      <c r="G476" s="39" t="n">
        <v>1</v>
      </c>
      <c r="H476" s="40" t="n">
        <v>70</v>
      </c>
    </row>
    <row r="477" s="33" customFormat="true" ht="14.25" hidden="false" customHeight="false" outlineLevel="0" collapsed="false">
      <c r="A477" s="34" t="n">
        <f aca="false">A476+1</f>
        <v>472</v>
      </c>
      <c r="B477" s="35" t="s">
        <v>345</v>
      </c>
      <c r="C477" s="35" t="str">
        <f aca="false">"0002004"</f>
        <v>0002004</v>
      </c>
      <c r="D477" s="37" t="s">
        <v>380</v>
      </c>
      <c r="E477" s="35" t="n">
        <v>2001</v>
      </c>
      <c r="F477" s="38" t="n">
        <v>1151.7</v>
      </c>
      <c r="G477" s="39" t="n">
        <v>1</v>
      </c>
      <c r="H477" s="40" t="n">
        <v>70</v>
      </c>
    </row>
    <row r="478" s="33" customFormat="true" ht="14.25" hidden="false" customHeight="false" outlineLevel="0" collapsed="false">
      <c r="A478" s="34" t="n">
        <f aca="false">A477+1</f>
        <v>473</v>
      </c>
      <c r="B478" s="35" t="s">
        <v>345</v>
      </c>
      <c r="C478" s="35" t="str">
        <f aca="false">"0002005"</f>
        <v>0002005</v>
      </c>
      <c r="D478" s="37" t="s">
        <v>381</v>
      </c>
      <c r="E478" s="35" t="n">
        <v>2001</v>
      </c>
      <c r="F478" s="38" t="n">
        <v>1135.38</v>
      </c>
      <c r="G478" s="39" t="n">
        <v>1</v>
      </c>
      <c r="H478" s="40" t="n">
        <v>70</v>
      </c>
    </row>
    <row r="479" s="33" customFormat="true" ht="14.25" hidden="false" customHeight="false" outlineLevel="0" collapsed="false">
      <c r="A479" s="34" t="n">
        <f aca="false">A478+1</f>
        <v>474</v>
      </c>
      <c r="B479" s="35" t="s">
        <v>345</v>
      </c>
      <c r="C479" s="35" t="str">
        <f aca="false">"0002007"</f>
        <v>0002007</v>
      </c>
      <c r="D479" s="37" t="s">
        <v>382</v>
      </c>
      <c r="E479" s="35" t="n">
        <v>2001</v>
      </c>
      <c r="F479" s="38" t="n">
        <v>1073.21</v>
      </c>
      <c r="G479" s="39" t="n">
        <v>1</v>
      </c>
      <c r="H479" s="40" t="n">
        <v>70</v>
      </c>
    </row>
    <row r="480" s="33" customFormat="true" ht="14.25" hidden="false" customHeight="false" outlineLevel="0" collapsed="false">
      <c r="A480" s="34" t="n">
        <f aca="false">A479+1</f>
        <v>475</v>
      </c>
      <c r="B480" s="35" t="s">
        <v>345</v>
      </c>
      <c r="C480" s="35" t="str">
        <f aca="false">"0002008"</f>
        <v>0002008</v>
      </c>
      <c r="D480" s="37" t="s">
        <v>383</v>
      </c>
      <c r="E480" s="35" t="n">
        <v>2001</v>
      </c>
      <c r="F480" s="38" t="n">
        <v>735.21</v>
      </c>
      <c r="G480" s="39" t="n">
        <v>4</v>
      </c>
      <c r="H480" s="40" t="n">
        <v>180</v>
      </c>
    </row>
    <row r="481" s="33" customFormat="true" ht="14.25" hidden="false" customHeight="false" outlineLevel="0" collapsed="false">
      <c r="A481" s="34" t="n">
        <f aca="false">A480+1</f>
        <v>476</v>
      </c>
      <c r="B481" s="35" t="s">
        <v>345</v>
      </c>
      <c r="C481" s="35" t="str">
        <f aca="false">"0002012"</f>
        <v>0002012</v>
      </c>
      <c r="D481" s="37" t="s">
        <v>384</v>
      </c>
      <c r="E481" s="35" t="n">
        <v>2001</v>
      </c>
      <c r="F481" s="38" t="n">
        <v>1488.8</v>
      </c>
      <c r="G481" s="39" t="n">
        <v>1</v>
      </c>
      <c r="H481" s="40" t="n">
        <v>90</v>
      </c>
    </row>
    <row r="482" s="33" customFormat="true" ht="14.25" hidden="false" customHeight="false" outlineLevel="0" collapsed="false">
      <c r="A482" s="34" t="n">
        <f aca="false">A481+1</f>
        <v>477</v>
      </c>
      <c r="B482" s="35" t="s">
        <v>345</v>
      </c>
      <c r="C482" s="35" t="str">
        <f aca="false">"0002013"</f>
        <v>0002013</v>
      </c>
      <c r="D482" s="37" t="s">
        <v>385</v>
      </c>
      <c r="E482" s="35" t="n">
        <v>2001</v>
      </c>
      <c r="F482" s="38" t="n">
        <v>17212.09</v>
      </c>
      <c r="G482" s="39" t="n">
        <v>1</v>
      </c>
      <c r="H482" s="40" t="n">
        <v>1050</v>
      </c>
    </row>
    <row r="483" s="33" customFormat="true" ht="14.25" hidden="false" customHeight="false" outlineLevel="0" collapsed="false">
      <c r="A483" s="34" t="n">
        <f aca="false">A482+1</f>
        <v>478</v>
      </c>
      <c r="B483" s="35" t="s">
        <v>345</v>
      </c>
      <c r="C483" s="35" t="str">
        <f aca="false">"0002031"</f>
        <v>0002031</v>
      </c>
      <c r="D483" s="37" t="s">
        <v>386</v>
      </c>
      <c r="E483" s="35" t="n">
        <v>2001</v>
      </c>
      <c r="F483" s="38" t="n">
        <v>1045.47</v>
      </c>
      <c r="G483" s="39" t="n">
        <v>1</v>
      </c>
      <c r="H483" s="40" t="n">
        <v>60</v>
      </c>
    </row>
    <row r="484" s="33" customFormat="true" ht="14.25" hidden="false" customHeight="false" outlineLevel="0" collapsed="false">
      <c r="A484" s="34" t="n">
        <f aca="false">A483+1</f>
        <v>479</v>
      </c>
      <c r="B484" s="35" t="s">
        <v>345</v>
      </c>
      <c r="C484" s="35" t="str">
        <f aca="false">"0002032"</f>
        <v>0002032</v>
      </c>
      <c r="D484" s="37" t="s">
        <v>387</v>
      </c>
      <c r="E484" s="35" t="n">
        <v>2001</v>
      </c>
      <c r="F484" s="38" t="n">
        <v>761.33</v>
      </c>
      <c r="G484" s="39" t="n">
        <v>2</v>
      </c>
      <c r="H484" s="40" t="n">
        <v>100</v>
      </c>
    </row>
    <row r="485" s="33" customFormat="true" ht="14.25" hidden="false" customHeight="false" outlineLevel="0" collapsed="false">
      <c r="A485" s="34" t="n">
        <f aca="false">A484+1</f>
        <v>480</v>
      </c>
      <c r="B485" s="35" t="s">
        <v>345</v>
      </c>
      <c r="C485" s="35" t="str">
        <f aca="false">"0002038"</f>
        <v>0002038</v>
      </c>
      <c r="D485" s="37" t="s">
        <v>388</v>
      </c>
      <c r="E485" s="35" t="n">
        <v>2001</v>
      </c>
      <c r="F485" s="38" t="n">
        <v>1998.11</v>
      </c>
      <c r="G485" s="39" t="n">
        <v>1</v>
      </c>
      <c r="H485" s="40" t="n">
        <v>125</v>
      </c>
    </row>
    <row r="486" s="33" customFormat="true" ht="14.25" hidden="false" customHeight="false" outlineLevel="0" collapsed="false">
      <c r="A486" s="34" t="n">
        <f aca="false">A485+1</f>
        <v>481</v>
      </c>
      <c r="B486" s="35" t="s">
        <v>345</v>
      </c>
      <c r="C486" s="35" t="str">
        <f aca="false">"0002039"</f>
        <v>0002039</v>
      </c>
      <c r="D486" s="37" t="s">
        <v>389</v>
      </c>
      <c r="E486" s="35" t="n">
        <v>2001</v>
      </c>
      <c r="F486" s="38" t="n">
        <v>2004.96</v>
      </c>
      <c r="G486" s="39" t="n">
        <v>1</v>
      </c>
      <c r="H486" s="40" t="n">
        <v>125</v>
      </c>
    </row>
    <row r="487" s="33" customFormat="true" ht="14.25" hidden="false" customHeight="false" outlineLevel="0" collapsed="false">
      <c r="A487" s="34" t="n">
        <f aca="false">A486+1</f>
        <v>482</v>
      </c>
      <c r="B487" s="35" t="s">
        <v>345</v>
      </c>
      <c r="C487" s="35" t="str">
        <f aca="false">"0002040"</f>
        <v>0002040</v>
      </c>
      <c r="D487" s="37" t="s">
        <v>389</v>
      </c>
      <c r="E487" s="35" t="n">
        <v>2001</v>
      </c>
      <c r="F487" s="38" t="n">
        <v>9253.76</v>
      </c>
      <c r="G487" s="39" t="n">
        <v>1</v>
      </c>
      <c r="H487" s="40" t="n">
        <v>580</v>
      </c>
    </row>
    <row r="488" s="33" customFormat="true" ht="14.25" hidden="false" customHeight="false" outlineLevel="0" collapsed="false">
      <c r="A488" s="34" t="n">
        <f aca="false">A487+1</f>
        <v>483</v>
      </c>
      <c r="B488" s="35" t="s">
        <v>345</v>
      </c>
      <c r="C488" s="35" t="str">
        <f aca="false">"0002043"</f>
        <v>0002043</v>
      </c>
      <c r="D488" s="37" t="s">
        <v>390</v>
      </c>
      <c r="E488" s="35" t="n">
        <v>2001</v>
      </c>
      <c r="F488" s="38" t="n">
        <v>3622.3</v>
      </c>
      <c r="G488" s="39" t="n">
        <v>1</v>
      </c>
      <c r="H488" s="40" t="n">
        <v>230</v>
      </c>
    </row>
    <row r="489" s="33" customFormat="true" ht="14.25" hidden="false" customHeight="false" outlineLevel="0" collapsed="false">
      <c r="A489" s="34" t="n">
        <f aca="false">A488+1</f>
        <v>484</v>
      </c>
      <c r="B489" s="35" t="s">
        <v>345</v>
      </c>
      <c r="C489" s="35" t="str">
        <f aca="false">"0002044"</f>
        <v>0002044</v>
      </c>
      <c r="D489" s="37" t="s">
        <v>391</v>
      </c>
      <c r="E489" s="35" t="n">
        <v>2001</v>
      </c>
      <c r="F489" s="38" t="n">
        <v>1221.9</v>
      </c>
      <c r="G489" s="39" t="n">
        <v>1</v>
      </c>
      <c r="H489" s="40" t="n">
        <v>80</v>
      </c>
    </row>
    <row r="490" s="33" customFormat="true" ht="14.25" hidden="false" customHeight="false" outlineLevel="0" collapsed="false">
      <c r="A490" s="34" t="n">
        <f aca="false">A489+1</f>
        <v>485</v>
      </c>
      <c r="B490" s="35" t="s">
        <v>345</v>
      </c>
      <c r="C490" s="35" t="str">
        <f aca="false">"0002045"</f>
        <v>0002045</v>
      </c>
      <c r="D490" s="37" t="s">
        <v>392</v>
      </c>
      <c r="E490" s="35" t="n">
        <v>2001</v>
      </c>
      <c r="F490" s="38" t="n">
        <v>1834.46</v>
      </c>
      <c r="G490" s="39" t="n">
        <v>1</v>
      </c>
      <c r="H490" s="40" t="n">
        <v>110</v>
      </c>
    </row>
    <row r="491" s="33" customFormat="true" ht="14.25" hidden="false" customHeight="false" outlineLevel="0" collapsed="false">
      <c r="A491" s="34" t="n">
        <f aca="false">A490+1</f>
        <v>486</v>
      </c>
      <c r="B491" s="35" t="s">
        <v>345</v>
      </c>
      <c r="C491" s="35" t="str">
        <f aca="false">"0002109"</f>
        <v>0002109</v>
      </c>
      <c r="D491" s="37" t="s">
        <v>393</v>
      </c>
      <c r="E491" s="35" t="n">
        <v>2001</v>
      </c>
      <c r="F491" s="38" t="n">
        <v>2256.37</v>
      </c>
      <c r="G491" s="39" t="n">
        <v>1</v>
      </c>
      <c r="H491" s="40" t="n">
        <v>140</v>
      </c>
    </row>
    <row r="492" s="33" customFormat="true" ht="14.25" hidden="false" customHeight="false" outlineLevel="0" collapsed="false">
      <c r="A492" s="34" t="n">
        <f aca="false">A491+1</f>
        <v>487</v>
      </c>
      <c r="B492" s="35" t="s">
        <v>345</v>
      </c>
      <c r="C492" s="35" t="str">
        <f aca="false">"0002110"</f>
        <v>0002110</v>
      </c>
      <c r="D492" s="37" t="s">
        <v>394</v>
      </c>
      <c r="E492" s="35" t="n">
        <v>2001</v>
      </c>
      <c r="F492" s="38" t="n">
        <v>680.05</v>
      </c>
      <c r="G492" s="39" t="n">
        <v>2</v>
      </c>
      <c r="H492" s="40" t="n">
        <v>80</v>
      </c>
    </row>
    <row r="493" s="33" customFormat="true" ht="14.25" hidden="false" customHeight="false" outlineLevel="0" collapsed="false">
      <c r="A493" s="34" t="n">
        <f aca="false">A492+1</f>
        <v>488</v>
      </c>
      <c r="B493" s="35" t="s">
        <v>345</v>
      </c>
      <c r="C493" s="35" t="str">
        <f aca="false">"0002112"</f>
        <v>0002112</v>
      </c>
      <c r="D493" s="37" t="s">
        <v>395</v>
      </c>
      <c r="E493" s="35" t="n">
        <v>2001</v>
      </c>
      <c r="F493" s="38" t="n">
        <v>45507.37</v>
      </c>
      <c r="G493" s="39" t="n">
        <v>1</v>
      </c>
      <c r="H493" s="40" t="n">
        <v>2800</v>
      </c>
    </row>
    <row r="494" s="33" customFormat="true" ht="14.25" hidden="false" customHeight="false" outlineLevel="0" collapsed="false">
      <c r="A494" s="34" t="n">
        <f aca="false">A493+1</f>
        <v>489</v>
      </c>
      <c r="B494" s="35" t="s">
        <v>345</v>
      </c>
      <c r="C494" s="35" t="str">
        <f aca="false">"0002113"</f>
        <v>0002113</v>
      </c>
      <c r="D494" s="37" t="s">
        <v>396</v>
      </c>
      <c r="E494" s="35" t="n">
        <v>2001</v>
      </c>
      <c r="F494" s="38" t="n">
        <v>4683.39</v>
      </c>
      <c r="G494" s="39" t="n">
        <v>1</v>
      </c>
      <c r="H494" s="40" t="n">
        <v>300</v>
      </c>
    </row>
    <row r="495" s="33" customFormat="true" ht="14.25" hidden="false" customHeight="false" outlineLevel="0" collapsed="false">
      <c r="A495" s="34" t="n">
        <f aca="false">A494+1</f>
        <v>490</v>
      </c>
      <c r="B495" s="35" t="s">
        <v>345</v>
      </c>
      <c r="C495" s="35" t="str">
        <f aca="false">"0002114"</f>
        <v>0002114</v>
      </c>
      <c r="D495" s="37" t="s">
        <v>397</v>
      </c>
      <c r="E495" s="35" t="n">
        <v>2001</v>
      </c>
      <c r="F495" s="38" t="n">
        <v>4689.82</v>
      </c>
      <c r="G495" s="39" t="n">
        <v>1</v>
      </c>
      <c r="H495" s="40" t="n">
        <v>300</v>
      </c>
    </row>
    <row r="496" s="33" customFormat="true" ht="14.25" hidden="false" customHeight="false" outlineLevel="0" collapsed="false">
      <c r="A496" s="34" t="n">
        <f aca="false">A495+1</f>
        <v>491</v>
      </c>
      <c r="B496" s="35" t="s">
        <v>345</v>
      </c>
      <c r="C496" s="35" t="str">
        <f aca="false">"0002115"</f>
        <v>0002115</v>
      </c>
      <c r="D496" s="37" t="s">
        <v>398</v>
      </c>
      <c r="E496" s="35" t="n">
        <v>2001</v>
      </c>
      <c r="F496" s="38" t="n">
        <v>1011.57</v>
      </c>
      <c r="G496" s="39" t="n">
        <v>1</v>
      </c>
      <c r="H496" s="40" t="n">
        <v>60</v>
      </c>
    </row>
    <row r="497" s="33" customFormat="true" ht="14.25" hidden="false" customHeight="false" outlineLevel="0" collapsed="false">
      <c r="A497" s="34" t="n">
        <f aca="false">A496+1</f>
        <v>492</v>
      </c>
      <c r="B497" s="35" t="s">
        <v>345</v>
      </c>
      <c r="C497" s="35" t="str">
        <f aca="false">"0002116"</f>
        <v>0002116</v>
      </c>
      <c r="D497" s="37" t="s">
        <v>399</v>
      </c>
      <c r="E497" s="35" t="n">
        <v>2001</v>
      </c>
      <c r="F497" s="38" t="n">
        <v>1034.14</v>
      </c>
      <c r="G497" s="39" t="n">
        <v>2</v>
      </c>
      <c r="H497" s="40" t="n">
        <v>120</v>
      </c>
    </row>
    <row r="498" s="33" customFormat="true" ht="14.25" hidden="false" customHeight="false" outlineLevel="0" collapsed="false">
      <c r="A498" s="34" t="n">
        <f aca="false">A497+1</f>
        <v>493</v>
      </c>
      <c r="B498" s="35" t="s">
        <v>345</v>
      </c>
      <c r="C498" s="35" t="str">
        <f aca="false">"0002118"</f>
        <v>0002118</v>
      </c>
      <c r="D498" s="37" t="s">
        <v>400</v>
      </c>
      <c r="E498" s="35" t="n">
        <v>2001</v>
      </c>
      <c r="F498" s="38" t="n">
        <v>1705.24</v>
      </c>
      <c r="G498" s="39" t="n">
        <v>1</v>
      </c>
      <c r="H498" s="40" t="n">
        <v>100</v>
      </c>
    </row>
    <row r="499" s="33" customFormat="true" ht="14.25" hidden="false" customHeight="false" outlineLevel="0" collapsed="false">
      <c r="A499" s="34" t="n">
        <f aca="false">A498+1</f>
        <v>494</v>
      </c>
      <c r="B499" s="35" t="s">
        <v>345</v>
      </c>
      <c r="C499" s="35" t="str">
        <f aca="false">"0002119"</f>
        <v>0002119</v>
      </c>
      <c r="D499" s="37" t="s">
        <v>401</v>
      </c>
      <c r="E499" s="35" t="n">
        <v>2001</v>
      </c>
      <c r="F499" s="38" t="n">
        <v>1819.59</v>
      </c>
      <c r="G499" s="39" t="n">
        <v>1</v>
      </c>
      <c r="H499" s="40" t="n">
        <v>70</v>
      </c>
    </row>
    <row r="500" s="33" customFormat="true" ht="14.25" hidden="false" customHeight="false" outlineLevel="0" collapsed="false">
      <c r="A500" s="34" t="n">
        <f aca="false">A499+1</f>
        <v>495</v>
      </c>
      <c r="B500" s="35" t="s">
        <v>345</v>
      </c>
      <c r="C500" s="35" t="str">
        <f aca="false">"0002120"</f>
        <v>0002120</v>
      </c>
      <c r="D500" s="37" t="s">
        <v>402</v>
      </c>
      <c r="E500" s="35" t="n">
        <v>2001</v>
      </c>
      <c r="F500" s="38" t="n">
        <v>1152.75</v>
      </c>
      <c r="G500" s="39" t="n">
        <v>2</v>
      </c>
      <c r="H500" s="40" t="n">
        <v>140</v>
      </c>
    </row>
    <row r="501" s="33" customFormat="true" ht="14.25" hidden="false" customHeight="false" outlineLevel="0" collapsed="false">
      <c r="A501" s="34" t="n">
        <f aca="false">A500+1</f>
        <v>496</v>
      </c>
      <c r="B501" s="35" t="s">
        <v>345</v>
      </c>
      <c r="C501" s="35" t="str">
        <f aca="false">"0002122"</f>
        <v>0002122</v>
      </c>
      <c r="D501" s="37" t="s">
        <v>403</v>
      </c>
      <c r="E501" s="35" t="n">
        <v>2001</v>
      </c>
      <c r="F501" s="38" t="n">
        <v>6324.23</v>
      </c>
      <c r="G501" s="39" t="n">
        <v>1</v>
      </c>
      <c r="H501" s="40" t="n">
        <v>390</v>
      </c>
    </row>
    <row r="502" s="33" customFormat="true" ht="14.25" hidden="false" customHeight="false" outlineLevel="0" collapsed="false">
      <c r="A502" s="34" t="n">
        <f aca="false">A501+1</f>
        <v>497</v>
      </c>
      <c r="B502" s="35" t="s">
        <v>345</v>
      </c>
      <c r="C502" s="35" t="str">
        <f aca="false">"0002123"</f>
        <v>0002123</v>
      </c>
      <c r="D502" s="37" t="s">
        <v>404</v>
      </c>
      <c r="E502" s="35" t="n">
        <v>2001</v>
      </c>
      <c r="F502" s="38" t="n">
        <v>6348.18</v>
      </c>
      <c r="G502" s="39" t="n">
        <v>1</v>
      </c>
      <c r="H502" s="40" t="n">
        <v>390</v>
      </c>
    </row>
    <row r="503" s="33" customFormat="true" ht="14.25" hidden="false" customHeight="false" outlineLevel="0" collapsed="false">
      <c r="A503" s="34" t="n">
        <f aca="false">A502+1</f>
        <v>498</v>
      </c>
      <c r="B503" s="35" t="s">
        <v>345</v>
      </c>
      <c r="C503" s="35" t="str">
        <f aca="false">"0002125"</f>
        <v>0002125</v>
      </c>
      <c r="D503" s="37" t="s">
        <v>405</v>
      </c>
      <c r="E503" s="35" t="n">
        <v>2001</v>
      </c>
      <c r="F503" s="38" t="n">
        <v>1735.85</v>
      </c>
      <c r="G503" s="39" t="n">
        <v>1</v>
      </c>
      <c r="H503" s="40" t="n">
        <v>100</v>
      </c>
    </row>
    <row r="504" s="33" customFormat="true" ht="14.25" hidden="false" customHeight="false" outlineLevel="0" collapsed="false">
      <c r="A504" s="34" t="n">
        <f aca="false">A503+1</f>
        <v>499</v>
      </c>
      <c r="B504" s="35" t="s">
        <v>345</v>
      </c>
      <c r="C504" s="35" t="str">
        <f aca="false">"0002126"</f>
        <v>0002126</v>
      </c>
      <c r="D504" s="37" t="s">
        <v>406</v>
      </c>
      <c r="E504" s="35" t="n">
        <v>2001</v>
      </c>
      <c r="F504" s="38" t="n">
        <v>1382.1</v>
      </c>
      <c r="G504" s="39" t="n">
        <v>1</v>
      </c>
      <c r="H504" s="40" t="n">
        <v>80</v>
      </c>
    </row>
    <row r="505" s="33" customFormat="true" ht="14.25" hidden="false" customHeight="false" outlineLevel="0" collapsed="false">
      <c r="A505" s="34" t="n">
        <f aca="false">A504+1</f>
        <v>500</v>
      </c>
      <c r="B505" s="35" t="s">
        <v>345</v>
      </c>
      <c r="C505" s="35" t="str">
        <f aca="false">"0002127"</f>
        <v>0002127</v>
      </c>
      <c r="D505" s="37" t="s">
        <v>407</v>
      </c>
      <c r="E505" s="35" t="n">
        <v>2001</v>
      </c>
      <c r="F505" s="38" t="n">
        <v>2001.78</v>
      </c>
      <c r="G505" s="39" t="n">
        <v>1</v>
      </c>
      <c r="H505" s="40" t="n">
        <v>120</v>
      </c>
    </row>
    <row r="506" s="33" customFormat="true" ht="14.25" hidden="false" customHeight="false" outlineLevel="0" collapsed="false">
      <c r="A506" s="34" t="n">
        <f aca="false">A505+1</f>
        <v>501</v>
      </c>
      <c r="B506" s="35" t="s">
        <v>345</v>
      </c>
      <c r="C506" s="35" t="str">
        <f aca="false">"0002128"</f>
        <v>0002128</v>
      </c>
      <c r="D506" s="37" t="s">
        <v>408</v>
      </c>
      <c r="E506" s="35" t="n">
        <v>2001</v>
      </c>
      <c r="F506" s="38" t="n">
        <v>1851.3</v>
      </c>
      <c r="G506" s="39" t="n">
        <v>1</v>
      </c>
      <c r="H506" s="40" t="n">
        <v>120</v>
      </c>
    </row>
    <row r="507" s="33" customFormat="true" ht="14.25" hidden="false" customHeight="false" outlineLevel="0" collapsed="false">
      <c r="A507" s="34" t="n">
        <f aca="false">A506+1</f>
        <v>502</v>
      </c>
      <c r="B507" s="35" t="s">
        <v>345</v>
      </c>
      <c r="C507" s="35" t="str">
        <f aca="false">"0002129"</f>
        <v>0002129</v>
      </c>
      <c r="D507" s="37" t="s">
        <v>409</v>
      </c>
      <c r="E507" s="35" t="n">
        <v>2001</v>
      </c>
      <c r="F507" s="38" t="n">
        <v>10526.88</v>
      </c>
      <c r="G507" s="39" t="n">
        <v>1</v>
      </c>
      <c r="H507" s="40" t="n">
        <v>640</v>
      </c>
    </row>
    <row r="508" s="33" customFormat="true" ht="14.25" hidden="false" customHeight="false" outlineLevel="0" collapsed="false">
      <c r="A508" s="34" t="n">
        <f aca="false">A507+1</f>
        <v>503</v>
      </c>
      <c r="B508" s="35" t="s">
        <v>345</v>
      </c>
      <c r="C508" s="35" t="str">
        <f aca="false">"0002130"</f>
        <v>0002130</v>
      </c>
      <c r="D508" s="37" t="s">
        <v>410</v>
      </c>
      <c r="E508" s="35" t="n">
        <v>2001</v>
      </c>
      <c r="F508" s="38" t="n">
        <v>12698.74</v>
      </c>
      <c r="G508" s="39" t="n">
        <v>1</v>
      </c>
      <c r="H508" s="40" t="n">
        <v>800</v>
      </c>
    </row>
    <row r="509" s="33" customFormat="true" ht="14.25" hidden="false" customHeight="false" outlineLevel="0" collapsed="false">
      <c r="A509" s="34" t="n">
        <f aca="false">A508+1</f>
        <v>504</v>
      </c>
      <c r="B509" s="35" t="s">
        <v>345</v>
      </c>
      <c r="C509" s="35" t="str">
        <f aca="false">"0002131"</f>
        <v>0002131</v>
      </c>
      <c r="D509" s="37" t="s">
        <v>411</v>
      </c>
      <c r="E509" s="35" t="n">
        <v>2001</v>
      </c>
      <c r="F509" s="38" t="n">
        <v>15128.04</v>
      </c>
      <c r="G509" s="39" t="n">
        <v>1</v>
      </c>
      <c r="H509" s="40" t="n">
        <v>960</v>
      </c>
    </row>
    <row r="510" s="33" customFormat="true" ht="14.25" hidden="false" customHeight="false" outlineLevel="0" collapsed="false">
      <c r="A510" s="34" t="n">
        <f aca="false">A509+1</f>
        <v>505</v>
      </c>
      <c r="B510" s="35" t="s">
        <v>345</v>
      </c>
      <c r="C510" s="35" t="str">
        <f aca="false">"0002132"</f>
        <v>0002132</v>
      </c>
      <c r="D510" s="37" t="s">
        <v>412</v>
      </c>
      <c r="E510" s="35" t="n">
        <v>2001</v>
      </c>
      <c r="F510" s="38" t="n">
        <v>1062.87</v>
      </c>
      <c r="G510" s="39" t="n">
        <v>1</v>
      </c>
      <c r="H510" s="40" t="n">
        <v>65</v>
      </c>
    </row>
    <row r="511" s="33" customFormat="true" ht="14.25" hidden="false" customHeight="false" outlineLevel="0" collapsed="false">
      <c r="A511" s="46" t="n">
        <f aca="false">A510+1</f>
        <v>506</v>
      </c>
      <c r="B511" s="35" t="s">
        <v>345</v>
      </c>
      <c r="C511" s="35" t="str">
        <f aca="false">"0002133"</f>
        <v>0002133</v>
      </c>
      <c r="D511" s="37" t="s">
        <v>413</v>
      </c>
      <c r="E511" s="35" t="n">
        <v>1962</v>
      </c>
      <c r="F511" s="38" t="n">
        <f aca="false">39500*7.5</f>
        <v>296250</v>
      </c>
      <c r="G511" s="39" t="n">
        <v>1</v>
      </c>
      <c r="H511" s="40" t="n">
        <v>2650</v>
      </c>
    </row>
    <row r="512" s="33" customFormat="true" ht="14.25" hidden="false" customHeight="false" outlineLevel="0" collapsed="false">
      <c r="A512" s="34" t="n">
        <f aca="false">A511+1</f>
        <v>507</v>
      </c>
      <c r="B512" s="35" t="s">
        <v>345</v>
      </c>
      <c r="C512" s="35" t="str">
        <f aca="false">"0002134"</f>
        <v>0002134</v>
      </c>
      <c r="D512" s="37" t="s">
        <v>414</v>
      </c>
      <c r="E512" s="35" t="n">
        <v>2001</v>
      </c>
      <c r="F512" s="38" t="n">
        <v>3224.33</v>
      </c>
      <c r="G512" s="39" t="n">
        <v>2</v>
      </c>
      <c r="H512" s="40" t="n">
        <v>400</v>
      </c>
    </row>
    <row r="513" s="33" customFormat="true" ht="14.25" hidden="false" customHeight="false" outlineLevel="0" collapsed="false">
      <c r="A513" s="34" t="n">
        <f aca="false">A512+1</f>
        <v>508</v>
      </c>
      <c r="B513" s="35" t="s">
        <v>345</v>
      </c>
      <c r="C513" s="35" t="str">
        <f aca="false">"0002136"</f>
        <v>0002136</v>
      </c>
      <c r="D513" s="37" t="s">
        <v>415</v>
      </c>
      <c r="E513" s="35" t="n">
        <v>2001</v>
      </c>
      <c r="F513" s="38" t="n">
        <v>15873.19</v>
      </c>
      <c r="G513" s="39" t="n">
        <v>1</v>
      </c>
      <c r="H513" s="40" t="n">
        <v>1000</v>
      </c>
    </row>
    <row r="514" s="33" customFormat="true" ht="14.25" hidden="false" customHeight="false" outlineLevel="0" collapsed="false">
      <c r="A514" s="34" t="n">
        <f aca="false">A513+1</f>
        <v>509</v>
      </c>
      <c r="B514" s="35" t="s">
        <v>345</v>
      </c>
      <c r="C514" s="35" t="str">
        <f aca="false">"0002137"</f>
        <v>0002137</v>
      </c>
      <c r="D514" s="37" t="s">
        <v>416</v>
      </c>
      <c r="E514" s="35" t="n">
        <v>2001</v>
      </c>
      <c r="F514" s="38" t="n">
        <v>15256.05</v>
      </c>
      <c r="G514" s="39" t="n">
        <v>1</v>
      </c>
      <c r="H514" s="40" t="n">
        <v>960</v>
      </c>
    </row>
    <row r="515" s="33" customFormat="true" ht="14.25" hidden="false" customHeight="false" outlineLevel="0" collapsed="false">
      <c r="A515" s="34" t="n">
        <f aca="false">A514+1</f>
        <v>510</v>
      </c>
      <c r="B515" s="35" t="s">
        <v>345</v>
      </c>
      <c r="C515" s="35" t="str">
        <f aca="false">"0002138"</f>
        <v>0002138</v>
      </c>
      <c r="D515" s="37" t="s">
        <v>417</v>
      </c>
      <c r="E515" s="35" t="n">
        <v>2001</v>
      </c>
      <c r="F515" s="38" t="n">
        <v>1310.97</v>
      </c>
      <c r="G515" s="39" t="n">
        <v>2</v>
      </c>
      <c r="H515" s="40" t="n">
        <v>160</v>
      </c>
    </row>
    <row r="516" s="33" customFormat="true" ht="14.25" hidden="false" customHeight="false" outlineLevel="0" collapsed="false">
      <c r="A516" s="34" t="n">
        <f aca="false">A515+1</f>
        <v>511</v>
      </c>
      <c r="B516" s="35" t="s">
        <v>345</v>
      </c>
      <c r="C516" s="35" t="str">
        <f aca="false">"0002140"</f>
        <v>0002140</v>
      </c>
      <c r="D516" s="37" t="s">
        <v>418</v>
      </c>
      <c r="E516" s="35" t="n">
        <v>2001</v>
      </c>
      <c r="F516" s="38" t="n">
        <v>11991.64</v>
      </c>
      <c r="G516" s="39" t="n">
        <v>1</v>
      </c>
      <c r="H516" s="40" t="n">
        <v>760</v>
      </c>
    </row>
    <row r="517" s="33" customFormat="true" ht="14.25" hidden="false" customHeight="false" outlineLevel="0" collapsed="false">
      <c r="A517" s="34" t="n">
        <f aca="false">A516+1</f>
        <v>512</v>
      </c>
      <c r="B517" s="35" t="s">
        <v>345</v>
      </c>
      <c r="C517" s="35" t="str">
        <f aca="false">"0002141"</f>
        <v>0002141</v>
      </c>
      <c r="D517" s="37" t="s">
        <v>419</v>
      </c>
      <c r="E517" s="35" t="n">
        <v>2001</v>
      </c>
      <c r="F517" s="38" t="n">
        <v>3385.3</v>
      </c>
      <c r="G517" s="39" t="n">
        <v>1</v>
      </c>
      <c r="H517" s="40" t="n">
        <v>215</v>
      </c>
    </row>
    <row r="518" s="33" customFormat="true" ht="14.25" hidden="false" customHeight="false" outlineLevel="0" collapsed="false">
      <c r="A518" s="34" t="n">
        <f aca="false">A517+1</f>
        <v>513</v>
      </c>
      <c r="B518" s="35" t="s">
        <v>345</v>
      </c>
      <c r="C518" s="35" t="str">
        <f aca="false">"0002142"</f>
        <v>0002142</v>
      </c>
      <c r="D518" s="37" t="s">
        <v>420</v>
      </c>
      <c r="E518" s="35" t="n">
        <v>2001</v>
      </c>
      <c r="F518" s="38" t="n">
        <v>4296.87</v>
      </c>
      <c r="G518" s="39" t="n">
        <v>1</v>
      </c>
      <c r="H518" s="40" t="n">
        <v>270</v>
      </c>
    </row>
    <row r="519" s="33" customFormat="true" ht="14.25" hidden="false" customHeight="false" outlineLevel="0" collapsed="false">
      <c r="A519" s="34" t="n">
        <f aca="false">A518+1</f>
        <v>514</v>
      </c>
      <c r="B519" s="35" t="s">
        <v>345</v>
      </c>
      <c r="C519" s="35" t="str">
        <f aca="false">"0002143"</f>
        <v>0002143</v>
      </c>
      <c r="D519" s="37" t="s">
        <v>421</v>
      </c>
      <c r="E519" s="35" t="n">
        <v>2001</v>
      </c>
      <c r="F519" s="38" t="n">
        <v>3985.29</v>
      </c>
      <c r="G519" s="39" t="n">
        <v>1</v>
      </c>
      <c r="H519" s="40" t="n">
        <v>250</v>
      </c>
    </row>
    <row r="520" s="33" customFormat="true" ht="14.25" hidden="false" customHeight="false" outlineLevel="0" collapsed="false">
      <c r="A520" s="34" t="n">
        <f aca="false">A519+1</f>
        <v>515</v>
      </c>
      <c r="B520" s="35" t="s">
        <v>345</v>
      </c>
      <c r="C520" s="35" t="str">
        <f aca="false">"0002149"</f>
        <v>0002149</v>
      </c>
      <c r="D520" s="37" t="s">
        <v>422</v>
      </c>
      <c r="E520" s="35" t="n">
        <v>2001</v>
      </c>
      <c r="F520" s="38" t="n">
        <v>1775.18</v>
      </c>
      <c r="G520" s="39" t="n">
        <v>1</v>
      </c>
      <c r="H520" s="40" t="n">
        <v>110</v>
      </c>
    </row>
    <row r="521" s="33" customFormat="true" ht="14.25" hidden="false" customHeight="false" outlineLevel="0" collapsed="false">
      <c r="A521" s="34" t="n">
        <f aca="false">A520+1</f>
        <v>516</v>
      </c>
      <c r="B521" s="35" t="s">
        <v>345</v>
      </c>
      <c r="C521" s="35" t="str">
        <f aca="false">"0002150"</f>
        <v>0002150</v>
      </c>
      <c r="D521" s="37" t="s">
        <v>423</v>
      </c>
      <c r="E521" s="35" t="n">
        <v>2001</v>
      </c>
      <c r="F521" s="38" t="n">
        <v>2614.12</v>
      </c>
      <c r="G521" s="39" t="n">
        <v>1</v>
      </c>
      <c r="H521" s="40" t="n">
        <v>160</v>
      </c>
    </row>
    <row r="522" s="33" customFormat="true" ht="14.25" hidden="false" customHeight="false" outlineLevel="0" collapsed="false">
      <c r="A522" s="34" t="n">
        <f aca="false">A521+1</f>
        <v>517</v>
      </c>
      <c r="B522" s="35" t="s">
        <v>345</v>
      </c>
      <c r="C522" s="35" t="str">
        <f aca="false">"0002151"</f>
        <v>0002151</v>
      </c>
      <c r="D522" s="37" t="s">
        <v>424</v>
      </c>
      <c r="E522" s="35" t="n">
        <v>2001</v>
      </c>
      <c r="F522" s="38" t="n">
        <v>11703.76</v>
      </c>
      <c r="G522" s="39" t="n">
        <v>1</v>
      </c>
      <c r="H522" s="40" t="n">
        <v>740</v>
      </c>
    </row>
    <row r="523" s="33" customFormat="true" ht="14.25" hidden="false" customHeight="false" outlineLevel="0" collapsed="false">
      <c r="A523" s="34" t="n">
        <f aca="false">A522+1</f>
        <v>518</v>
      </c>
      <c r="B523" s="35" t="s">
        <v>345</v>
      </c>
      <c r="C523" s="35" t="str">
        <f aca="false">"0002152"</f>
        <v>0002152</v>
      </c>
      <c r="D523" s="37" t="s">
        <v>425</v>
      </c>
      <c r="E523" s="35" t="n">
        <v>2001</v>
      </c>
      <c r="F523" s="38" t="n">
        <v>2612.42</v>
      </c>
      <c r="G523" s="39" t="n">
        <v>1</v>
      </c>
      <c r="H523" s="40" t="n">
        <v>160</v>
      </c>
    </row>
    <row r="524" s="33" customFormat="true" ht="14.25" hidden="false" customHeight="false" outlineLevel="0" collapsed="false">
      <c r="A524" s="34" t="n">
        <f aca="false">A523+1</f>
        <v>519</v>
      </c>
      <c r="B524" s="35" t="s">
        <v>345</v>
      </c>
      <c r="C524" s="35" t="str">
        <f aca="false">"0002153"</f>
        <v>0002153</v>
      </c>
      <c r="D524" s="37" t="s">
        <v>426</v>
      </c>
      <c r="E524" s="35" t="n">
        <v>2001</v>
      </c>
      <c r="F524" s="38" t="n">
        <v>3986.5</v>
      </c>
      <c r="G524" s="39" t="n">
        <v>1</v>
      </c>
      <c r="H524" s="40" t="n">
        <v>240</v>
      </c>
    </row>
    <row r="525" s="33" customFormat="true" ht="14.25" hidden="false" customHeight="false" outlineLevel="0" collapsed="false">
      <c r="A525" s="34" t="n">
        <f aca="false">A524+1</f>
        <v>520</v>
      </c>
      <c r="B525" s="35" t="s">
        <v>345</v>
      </c>
      <c r="C525" s="35" t="str">
        <f aca="false">"0002154"</f>
        <v>0002154</v>
      </c>
      <c r="D525" s="37" t="s">
        <v>427</v>
      </c>
      <c r="E525" s="35" t="n">
        <v>2001</v>
      </c>
      <c r="F525" s="38" t="n">
        <v>3033.76</v>
      </c>
      <c r="G525" s="39" t="n">
        <v>1</v>
      </c>
      <c r="H525" s="40" t="n">
        <v>190</v>
      </c>
    </row>
    <row r="526" s="33" customFormat="true" ht="14.25" hidden="false" customHeight="false" outlineLevel="0" collapsed="false">
      <c r="A526" s="34" t="n">
        <f aca="false">A525+1</f>
        <v>521</v>
      </c>
      <c r="B526" s="35" t="s">
        <v>345</v>
      </c>
      <c r="C526" s="35" t="str">
        <f aca="false">"0002155"</f>
        <v>0002155</v>
      </c>
      <c r="D526" s="37" t="s">
        <v>428</v>
      </c>
      <c r="E526" s="35" t="n">
        <v>2001</v>
      </c>
      <c r="F526" s="38" t="n">
        <v>5717.58</v>
      </c>
      <c r="G526" s="39" t="n">
        <v>1</v>
      </c>
      <c r="H526" s="40" t="n">
        <v>360</v>
      </c>
    </row>
    <row r="527" s="33" customFormat="true" ht="14.25" hidden="false" customHeight="false" outlineLevel="0" collapsed="false">
      <c r="A527" s="34" t="n">
        <f aca="false">A526+1</f>
        <v>522</v>
      </c>
      <c r="B527" s="35" t="s">
        <v>345</v>
      </c>
      <c r="C527" s="35" t="str">
        <f aca="false">"0002156"</f>
        <v>0002156</v>
      </c>
      <c r="D527" s="37" t="s">
        <v>429</v>
      </c>
      <c r="E527" s="35" t="n">
        <v>2001</v>
      </c>
      <c r="F527" s="38" t="n">
        <v>2298.6</v>
      </c>
      <c r="G527" s="39" t="n">
        <v>1</v>
      </c>
      <c r="H527" s="40" t="n">
        <v>145</v>
      </c>
    </row>
    <row r="528" s="33" customFormat="true" ht="14.25" hidden="false" customHeight="false" outlineLevel="0" collapsed="false">
      <c r="A528" s="34" t="n">
        <f aca="false">A527+1</f>
        <v>523</v>
      </c>
      <c r="B528" s="35" t="s">
        <v>345</v>
      </c>
      <c r="C528" s="35" t="str">
        <f aca="false">"0002157"</f>
        <v>0002157</v>
      </c>
      <c r="D528" s="37" t="s">
        <v>430</v>
      </c>
      <c r="E528" s="35" t="n">
        <v>2001</v>
      </c>
      <c r="F528" s="38" t="n">
        <v>2202.22</v>
      </c>
      <c r="G528" s="39" t="n">
        <v>1</v>
      </c>
      <c r="H528" s="40" t="n">
        <v>140</v>
      </c>
    </row>
    <row r="529" s="33" customFormat="true" ht="14.25" hidden="false" customHeight="false" outlineLevel="0" collapsed="false">
      <c r="A529" s="34" t="n">
        <f aca="false">A528+1</f>
        <v>524</v>
      </c>
      <c r="B529" s="35" t="s">
        <v>345</v>
      </c>
      <c r="C529" s="35" t="str">
        <f aca="false">"0002159"</f>
        <v>0002159</v>
      </c>
      <c r="D529" s="37" t="s">
        <v>431</v>
      </c>
      <c r="E529" s="35" t="n">
        <v>1987</v>
      </c>
      <c r="F529" s="38" t="n">
        <f aca="false">97702.97*1.2</f>
        <v>117243.564</v>
      </c>
      <c r="G529" s="39" t="n">
        <v>1</v>
      </c>
      <c r="H529" s="40" t="n">
        <v>7400</v>
      </c>
    </row>
    <row r="530" s="33" customFormat="true" ht="14.25" hidden="false" customHeight="false" outlineLevel="0" collapsed="false">
      <c r="A530" s="34" t="n">
        <f aca="false">A529+1</f>
        <v>525</v>
      </c>
      <c r="B530" s="35" t="s">
        <v>345</v>
      </c>
      <c r="C530" s="35" t="str">
        <f aca="false">"0002160"</f>
        <v>0002160</v>
      </c>
      <c r="D530" s="37" t="s">
        <v>432</v>
      </c>
      <c r="E530" s="35" t="n">
        <v>2001</v>
      </c>
      <c r="F530" s="38" t="n">
        <v>4198.75</v>
      </c>
      <c r="G530" s="39" t="n">
        <v>1</v>
      </c>
      <c r="H530" s="40" t="n">
        <v>260</v>
      </c>
    </row>
    <row r="531" s="33" customFormat="true" ht="14.25" hidden="false" customHeight="false" outlineLevel="0" collapsed="false">
      <c r="A531" s="34" t="n">
        <f aca="false">A530+1</f>
        <v>526</v>
      </c>
      <c r="B531" s="35" t="s">
        <v>345</v>
      </c>
      <c r="C531" s="35" t="str">
        <f aca="false">"0002162"</f>
        <v>0002162</v>
      </c>
      <c r="D531" s="37" t="s">
        <v>433</v>
      </c>
      <c r="E531" s="35" t="n">
        <v>2001</v>
      </c>
      <c r="F531" s="38" t="n">
        <v>8699.23</v>
      </c>
      <c r="G531" s="39" t="n">
        <v>1</v>
      </c>
      <c r="H531" s="40" t="n">
        <v>550</v>
      </c>
    </row>
    <row r="532" s="33" customFormat="true" ht="14.25" hidden="false" customHeight="false" outlineLevel="0" collapsed="false">
      <c r="A532" s="34" t="n">
        <f aca="false">A531+1</f>
        <v>527</v>
      </c>
      <c r="B532" s="35" t="s">
        <v>345</v>
      </c>
      <c r="C532" s="35" t="str">
        <f aca="false">"0002164"</f>
        <v>0002164</v>
      </c>
      <c r="D532" s="37" t="s">
        <v>434</v>
      </c>
      <c r="E532" s="35" t="n">
        <v>2001</v>
      </c>
      <c r="F532" s="38" t="n">
        <v>2748.75</v>
      </c>
      <c r="G532" s="39" t="n">
        <v>1</v>
      </c>
      <c r="H532" s="40" t="n">
        <v>170</v>
      </c>
    </row>
    <row r="533" s="33" customFormat="true" ht="14.25" hidden="false" customHeight="false" outlineLevel="0" collapsed="false">
      <c r="A533" s="34" t="n">
        <f aca="false">A532+1</f>
        <v>528</v>
      </c>
      <c r="B533" s="35" t="s">
        <v>345</v>
      </c>
      <c r="C533" s="35" t="str">
        <f aca="false">"0002166"</f>
        <v>0002166</v>
      </c>
      <c r="D533" s="37" t="s">
        <v>435</v>
      </c>
      <c r="E533" s="35" t="n">
        <v>2001</v>
      </c>
      <c r="F533" s="38" t="n">
        <v>1001.73</v>
      </c>
      <c r="G533" s="39" t="n">
        <v>1</v>
      </c>
      <c r="H533" s="40" t="n">
        <v>65</v>
      </c>
    </row>
    <row r="534" s="33" customFormat="true" ht="14.25" hidden="false" customHeight="false" outlineLevel="0" collapsed="false">
      <c r="A534" s="34" t="n">
        <f aca="false">A533+1</f>
        <v>529</v>
      </c>
      <c r="B534" s="35" t="s">
        <v>345</v>
      </c>
      <c r="C534" s="35" t="str">
        <f aca="false">"0002167"</f>
        <v>0002167</v>
      </c>
      <c r="D534" s="37" t="s">
        <v>436</v>
      </c>
      <c r="E534" s="35" t="n">
        <v>2001</v>
      </c>
      <c r="F534" s="38" t="n">
        <v>8411.92</v>
      </c>
      <c r="G534" s="39" t="n">
        <v>1</v>
      </c>
      <c r="H534" s="40" t="n">
        <v>530</v>
      </c>
    </row>
    <row r="535" s="33" customFormat="true" ht="14.25" hidden="false" customHeight="false" outlineLevel="0" collapsed="false">
      <c r="A535" s="34" t="n">
        <f aca="false">A534+1</f>
        <v>530</v>
      </c>
      <c r="B535" s="35" t="s">
        <v>345</v>
      </c>
      <c r="C535" s="35" t="str">
        <f aca="false">"0002168"</f>
        <v>0002168</v>
      </c>
      <c r="D535" s="37" t="s">
        <v>437</v>
      </c>
      <c r="E535" s="35" t="n">
        <v>2001</v>
      </c>
      <c r="F535" s="38" t="n">
        <v>14544.52</v>
      </c>
      <c r="G535" s="39" t="n">
        <v>1</v>
      </c>
      <c r="H535" s="40" t="n">
        <v>920</v>
      </c>
    </row>
    <row r="536" s="33" customFormat="true" ht="14.25" hidden="false" customHeight="false" outlineLevel="0" collapsed="false">
      <c r="A536" s="34" t="n">
        <f aca="false">A535+1</f>
        <v>531</v>
      </c>
      <c r="B536" s="35" t="s">
        <v>345</v>
      </c>
      <c r="C536" s="35" t="str">
        <f aca="false">"0002169"</f>
        <v>0002169</v>
      </c>
      <c r="D536" s="37" t="s">
        <v>438</v>
      </c>
      <c r="E536" s="35" t="n">
        <v>2001</v>
      </c>
      <c r="F536" s="38" t="n">
        <v>1079.01</v>
      </c>
      <c r="G536" s="39" t="n">
        <v>7</v>
      </c>
      <c r="H536" s="40" t="n">
        <v>490</v>
      </c>
    </row>
    <row r="537" s="33" customFormat="true" ht="14.25" hidden="false" customHeight="false" outlineLevel="0" collapsed="false">
      <c r="A537" s="34" t="n">
        <f aca="false">A536+1</f>
        <v>532</v>
      </c>
      <c r="B537" s="35" t="s">
        <v>345</v>
      </c>
      <c r="C537" s="35" t="str">
        <f aca="false">"0002176"</f>
        <v>0002176</v>
      </c>
      <c r="D537" s="37" t="s">
        <v>439</v>
      </c>
      <c r="E537" s="35" t="n">
        <v>2001</v>
      </c>
      <c r="F537" s="38" t="n">
        <v>4997.84</v>
      </c>
      <c r="G537" s="39" t="n">
        <v>1</v>
      </c>
      <c r="H537" s="40" t="n">
        <v>315</v>
      </c>
    </row>
    <row r="538" s="33" customFormat="true" ht="14.25" hidden="false" customHeight="false" outlineLevel="0" collapsed="false">
      <c r="A538" s="34" t="n">
        <f aca="false">A537+1</f>
        <v>533</v>
      </c>
      <c r="B538" s="35" t="s">
        <v>345</v>
      </c>
      <c r="C538" s="35" t="str">
        <f aca="false">"0002177"</f>
        <v>0002177</v>
      </c>
      <c r="D538" s="37" t="s">
        <v>440</v>
      </c>
      <c r="E538" s="35" t="n">
        <v>2001</v>
      </c>
      <c r="F538" s="38" t="n">
        <v>5202</v>
      </c>
      <c r="G538" s="39" t="n">
        <v>1</v>
      </c>
      <c r="H538" s="40" t="n">
        <v>330</v>
      </c>
    </row>
    <row r="539" s="33" customFormat="true" ht="14.25" hidden="false" customHeight="false" outlineLevel="0" collapsed="false">
      <c r="A539" s="34" t="n">
        <f aca="false">A538+1</f>
        <v>534</v>
      </c>
      <c r="B539" s="35" t="s">
        <v>345</v>
      </c>
      <c r="C539" s="35" t="str">
        <f aca="false">"0002178"</f>
        <v>0002178</v>
      </c>
      <c r="D539" s="37" t="s">
        <v>441</v>
      </c>
      <c r="E539" s="35" t="n">
        <v>2001</v>
      </c>
      <c r="F539" s="38" t="n">
        <v>1444.12</v>
      </c>
      <c r="G539" s="39" t="n">
        <v>1</v>
      </c>
      <c r="H539" s="40" t="n">
        <v>90</v>
      </c>
    </row>
    <row r="540" s="33" customFormat="true" ht="14.25" hidden="false" customHeight="false" outlineLevel="0" collapsed="false">
      <c r="A540" s="34" t="n">
        <f aca="false">A539+1</f>
        <v>535</v>
      </c>
      <c r="B540" s="35" t="s">
        <v>345</v>
      </c>
      <c r="C540" s="35" t="str">
        <f aca="false">"0002184"</f>
        <v>0002184</v>
      </c>
      <c r="D540" s="37" t="s">
        <v>442</v>
      </c>
      <c r="E540" s="35" t="n">
        <v>2001</v>
      </c>
      <c r="F540" s="38" t="n">
        <v>3983.59</v>
      </c>
      <c r="G540" s="39" t="n">
        <v>1</v>
      </c>
      <c r="H540" s="40" t="n">
        <v>240</v>
      </c>
    </row>
    <row r="541" s="33" customFormat="true" ht="14.25" hidden="false" customHeight="false" outlineLevel="0" collapsed="false">
      <c r="A541" s="34" t="n">
        <f aca="false">A540+1</f>
        <v>536</v>
      </c>
      <c r="B541" s="35" t="s">
        <v>345</v>
      </c>
      <c r="C541" s="35" t="str">
        <f aca="false">"0002185"</f>
        <v>0002185</v>
      </c>
      <c r="D541" s="37" t="s">
        <v>443</v>
      </c>
      <c r="E541" s="35" t="n">
        <v>2001</v>
      </c>
      <c r="F541" s="38" t="n">
        <v>2491.19</v>
      </c>
      <c r="G541" s="39" t="n">
        <v>2</v>
      </c>
      <c r="H541" s="40" t="n">
        <v>320</v>
      </c>
    </row>
    <row r="542" s="33" customFormat="true" ht="14.25" hidden="false" customHeight="false" outlineLevel="0" collapsed="false">
      <c r="A542" s="34" t="n">
        <f aca="false">A541+1</f>
        <v>537</v>
      </c>
      <c r="B542" s="35" t="s">
        <v>345</v>
      </c>
      <c r="C542" s="35" t="str">
        <f aca="false">"0002187"</f>
        <v>0002187</v>
      </c>
      <c r="D542" s="37" t="s">
        <v>444</v>
      </c>
      <c r="E542" s="35" t="n">
        <v>2001</v>
      </c>
      <c r="F542" s="38" t="n">
        <v>7421.4</v>
      </c>
      <c r="G542" s="39" t="n">
        <v>1</v>
      </c>
      <c r="H542" s="40" t="n">
        <v>470</v>
      </c>
    </row>
    <row r="543" s="33" customFormat="true" ht="14.25" hidden="false" customHeight="false" outlineLevel="0" collapsed="false">
      <c r="A543" s="34" t="n">
        <f aca="false">A542+1</f>
        <v>538</v>
      </c>
      <c r="B543" s="35" t="s">
        <v>345</v>
      </c>
      <c r="C543" s="35" t="str">
        <f aca="false">"0002188"</f>
        <v>0002188</v>
      </c>
      <c r="D543" s="37" t="s">
        <v>445</v>
      </c>
      <c r="E543" s="35" t="n">
        <v>2001</v>
      </c>
      <c r="F543" s="38" t="n">
        <v>14324.16</v>
      </c>
      <c r="G543" s="39" t="n">
        <v>1</v>
      </c>
      <c r="H543" s="40" t="n">
        <v>900</v>
      </c>
    </row>
    <row r="544" s="33" customFormat="true" ht="14.25" hidden="false" customHeight="false" outlineLevel="0" collapsed="false">
      <c r="A544" s="34" t="n">
        <f aca="false">A543+1</f>
        <v>539</v>
      </c>
      <c r="B544" s="35" t="s">
        <v>345</v>
      </c>
      <c r="C544" s="35" t="str">
        <f aca="false">"0002189"</f>
        <v>0002189</v>
      </c>
      <c r="D544" s="37" t="s">
        <v>446</v>
      </c>
      <c r="E544" s="35" t="n">
        <v>2001</v>
      </c>
      <c r="F544" s="38" t="n">
        <v>1838.32</v>
      </c>
      <c r="G544" s="39" t="n">
        <v>2</v>
      </c>
      <c r="H544" s="40" t="n">
        <v>220</v>
      </c>
    </row>
    <row r="545" s="33" customFormat="true" ht="14.25" hidden="false" customHeight="false" outlineLevel="0" collapsed="false">
      <c r="A545" s="34" t="n">
        <f aca="false">A544+1</f>
        <v>540</v>
      </c>
      <c r="B545" s="35" t="s">
        <v>345</v>
      </c>
      <c r="C545" s="35" t="str">
        <f aca="false">"0002191"</f>
        <v>0002191</v>
      </c>
      <c r="D545" s="37" t="s">
        <v>447</v>
      </c>
      <c r="E545" s="35" t="n">
        <v>2001</v>
      </c>
      <c r="F545" s="38" t="n">
        <v>13482.52</v>
      </c>
      <c r="G545" s="39" t="n">
        <v>1</v>
      </c>
      <c r="H545" s="40" t="n">
        <v>850</v>
      </c>
    </row>
    <row r="546" s="33" customFormat="true" ht="14.25" hidden="false" customHeight="false" outlineLevel="0" collapsed="false">
      <c r="A546" s="34" t="n">
        <f aca="false">A545+1</f>
        <v>541</v>
      </c>
      <c r="B546" s="35" t="s">
        <v>345</v>
      </c>
      <c r="C546" s="35" t="str">
        <f aca="false">"0002192"</f>
        <v>0002192</v>
      </c>
      <c r="D546" s="37" t="s">
        <v>448</v>
      </c>
      <c r="E546" s="35" t="n">
        <v>2001</v>
      </c>
      <c r="F546" s="38" t="n">
        <v>2361.08</v>
      </c>
      <c r="G546" s="39" t="n">
        <v>1</v>
      </c>
      <c r="H546" s="40" t="n">
        <v>150</v>
      </c>
    </row>
    <row r="547" s="33" customFormat="true" ht="14.25" hidden="false" customHeight="false" outlineLevel="0" collapsed="false">
      <c r="A547" s="34" t="n">
        <f aca="false">A546+1</f>
        <v>542</v>
      </c>
      <c r="B547" s="35" t="s">
        <v>345</v>
      </c>
      <c r="C547" s="35" t="str">
        <f aca="false">"0002193"</f>
        <v>0002193</v>
      </c>
      <c r="D547" s="37" t="s">
        <v>449</v>
      </c>
      <c r="E547" s="35" t="n">
        <v>2001</v>
      </c>
      <c r="F547" s="38" t="n">
        <v>2361.08</v>
      </c>
      <c r="G547" s="39" t="n">
        <v>1</v>
      </c>
      <c r="H547" s="40" t="n">
        <v>150</v>
      </c>
    </row>
    <row r="548" s="33" customFormat="true" ht="14.25" hidden="false" customHeight="false" outlineLevel="0" collapsed="false">
      <c r="A548" s="34" t="n">
        <f aca="false">A547+1</f>
        <v>543</v>
      </c>
      <c r="B548" s="35" t="s">
        <v>345</v>
      </c>
      <c r="C548" s="35" t="str">
        <f aca="false">"0002217"</f>
        <v>0002217</v>
      </c>
      <c r="D548" s="37" t="s">
        <v>450</v>
      </c>
      <c r="E548" s="35" t="n">
        <v>2001</v>
      </c>
      <c r="F548" s="38" t="n">
        <v>2004.74</v>
      </c>
      <c r="G548" s="39" t="n">
        <v>2</v>
      </c>
      <c r="H548" s="40" t="n">
        <v>240</v>
      </c>
    </row>
    <row r="549" s="33" customFormat="true" ht="14.25" hidden="false" customHeight="false" outlineLevel="0" collapsed="false">
      <c r="A549" s="34" t="n">
        <f aca="false">A548+1</f>
        <v>544</v>
      </c>
      <c r="B549" s="35" t="s">
        <v>345</v>
      </c>
      <c r="C549" s="35" t="str">
        <f aca="false">"0002219"</f>
        <v>0002219</v>
      </c>
      <c r="D549" s="37" t="s">
        <v>451</v>
      </c>
      <c r="E549" s="35" t="n">
        <v>2001</v>
      </c>
      <c r="F549" s="38" t="n">
        <v>4228.28</v>
      </c>
      <c r="G549" s="39" t="n">
        <v>1</v>
      </c>
      <c r="H549" s="40" t="n">
        <v>260</v>
      </c>
    </row>
    <row r="550" s="33" customFormat="true" ht="14.25" hidden="false" customHeight="false" outlineLevel="0" collapsed="false">
      <c r="A550" s="34" t="n">
        <f aca="false">A549+1</f>
        <v>545</v>
      </c>
      <c r="B550" s="35" t="s">
        <v>345</v>
      </c>
      <c r="C550" s="35" t="str">
        <f aca="false">"0002220"</f>
        <v>0002220</v>
      </c>
      <c r="D550" s="37" t="s">
        <v>452</v>
      </c>
      <c r="E550" s="35" t="n">
        <v>2001</v>
      </c>
      <c r="F550" s="38" t="n">
        <v>13419.67</v>
      </c>
      <c r="G550" s="39" t="n">
        <v>1</v>
      </c>
      <c r="H550" s="40" t="n">
        <v>850</v>
      </c>
    </row>
    <row r="551" s="33" customFormat="true" ht="14.25" hidden="false" customHeight="false" outlineLevel="0" collapsed="false">
      <c r="A551" s="34" t="n">
        <f aca="false">A550+1</f>
        <v>546</v>
      </c>
      <c r="B551" s="35" t="s">
        <v>345</v>
      </c>
      <c r="C551" s="35" t="str">
        <f aca="false">"0002221"</f>
        <v>0002221</v>
      </c>
      <c r="D551" s="37" t="s">
        <v>453</v>
      </c>
      <c r="E551" s="35" t="n">
        <v>2001</v>
      </c>
      <c r="F551" s="38" t="n">
        <v>2538.2</v>
      </c>
      <c r="G551" s="39" t="n">
        <v>1</v>
      </c>
      <c r="H551" s="40" t="n">
        <v>160</v>
      </c>
    </row>
    <row r="552" s="33" customFormat="true" ht="14.25" hidden="false" customHeight="false" outlineLevel="0" collapsed="false">
      <c r="A552" s="34" t="n">
        <f aca="false">A551+1</f>
        <v>547</v>
      </c>
      <c r="B552" s="35" t="s">
        <v>345</v>
      </c>
      <c r="C552" s="35" t="str">
        <f aca="false">"0002222"</f>
        <v>0002222</v>
      </c>
      <c r="D552" s="37" t="s">
        <v>454</v>
      </c>
      <c r="E552" s="35" t="n">
        <v>2001</v>
      </c>
      <c r="F552" s="38" t="n">
        <v>6782.64</v>
      </c>
      <c r="G552" s="39" t="n">
        <v>1</v>
      </c>
      <c r="H552" s="40" t="n">
        <v>430</v>
      </c>
    </row>
    <row r="553" s="33" customFormat="true" ht="14.25" hidden="false" customHeight="false" outlineLevel="0" collapsed="false">
      <c r="A553" s="34" t="n">
        <f aca="false">A552+1</f>
        <v>548</v>
      </c>
      <c r="B553" s="35" t="s">
        <v>345</v>
      </c>
      <c r="C553" s="35" t="str">
        <f aca="false">"0002223"</f>
        <v>0002223</v>
      </c>
      <c r="D553" s="37" t="s">
        <v>455</v>
      </c>
      <c r="E553" s="35" t="n">
        <v>2001</v>
      </c>
      <c r="F553" s="38" t="n">
        <v>1426.89</v>
      </c>
      <c r="G553" s="39" t="n">
        <v>1</v>
      </c>
      <c r="H553" s="40" t="n">
        <v>90</v>
      </c>
    </row>
    <row r="554" s="33" customFormat="true" ht="14.25" hidden="false" customHeight="false" outlineLevel="0" collapsed="false">
      <c r="A554" s="34" t="n">
        <f aca="false">A553+1</f>
        <v>549</v>
      </c>
      <c r="B554" s="35" t="s">
        <v>345</v>
      </c>
      <c r="C554" s="35" t="str">
        <f aca="false">"0002224"</f>
        <v>0002224</v>
      </c>
      <c r="D554" s="37" t="s">
        <v>456</v>
      </c>
      <c r="E554" s="35" t="n">
        <v>2001</v>
      </c>
      <c r="F554" s="38" t="n">
        <v>7690.99</v>
      </c>
      <c r="G554" s="39" t="n">
        <v>1</v>
      </c>
      <c r="H554" s="40" t="n">
        <v>485</v>
      </c>
    </row>
    <row r="555" s="33" customFormat="true" ht="14.25" hidden="false" customHeight="false" outlineLevel="0" collapsed="false">
      <c r="A555" s="34" t="n">
        <f aca="false">A554+1</f>
        <v>550</v>
      </c>
      <c r="B555" s="35" t="s">
        <v>345</v>
      </c>
      <c r="C555" s="35" t="str">
        <f aca="false">"0002225"</f>
        <v>0002225</v>
      </c>
      <c r="D555" s="37" t="s">
        <v>457</v>
      </c>
      <c r="E555" s="35" t="n">
        <v>2001</v>
      </c>
      <c r="F555" s="38" t="n">
        <v>5585.69</v>
      </c>
      <c r="G555" s="39" t="n">
        <v>1</v>
      </c>
      <c r="H555" s="40" t="n">
        <v>350</v>
      </c>
    </row>
    <row r="556" s="33" customFormat="true" ht="14.25" hidden="false" customHeight="false" outlineLevel="0" collapsed="false">
      <c r="A556" s="34" t="n">
        <f aca="false">A555+1</f>
        <v>551</v>
      </c>
      <c r="B556" s="35" t="s">
        <v>345</v>
      </c>
      <c r="C556" s="35" t="str">
        <f aca="false">"0002226"</f>
        <v>0002226</v>
      </c>
      <c r="D556" s="37" t="s">
        <v>458</v>
      </c>
      <c r="E556" s="35" t="n">
        <v>2001</v>
      </c>
      <c r="F556" s="38" t="n">
        <v>12522.13</v>
      </c>
      <c r="G556" s="39" t="n">
        <v>1</v>
      </c>
      <c r="H556" s="40" t="n">
        <v>790</v>
      </c>
    </row>
    <row r="557" s="33" customFormat="true" ht="14.25" hidden="false" customHeight="false" outlineLevel="0" collapsed="false">
      <c r="A557" s="34" t="n">
        <f aca="false">A556+1</f>
        <v>552</v>
      </c>
      <c r="B557" s="35" t="s">
        <v>345</v>
      </c>
      <c r="C557" s="35" t="str">
        <f aca="false">"0002233"</f>
        <v>0002233</v>
      </c>
      <c r="D557" s="37" t="s">
        <v>459</v>
      </c>
      <c r="E557" s="35" t="n">
        <v>2001</v>
      </c>
      <c r="F557" s="38" t="n">
        <v>1701.11</v>
      </c>
      <c r="G557" s="39" t="n">
        <v>1</v>
      </c>
      <c r="H557" s="40" t="n">
        <v>110</v>
      </c>
    </row>
    <row r="558" s="33" customFormat="true" ht="14.25" hidden="false" customHeight="false" outlineLevel="0" collapsed="false">
      <c r="A558" s="34" t="n">
        <f aca="false">A557+1</f>
        <v>553</v>
      </c>
      <c r="B558" s="35" t="s">
        <v>345</v>
      </c>
      <c r="C558" s="35" t="str">
        <f aca="false">"0002237"</f>
        <v>0002237</v>
      </c>
      <c r="D558" s="37" t="s">
        <v>460</v>
      </c>
      <c r="E558" s="35" t="n">
        <v>2001</v>
      </c>
      <c r="F558" s="38" t="n">
        <v>3030.45</v>
      </c>
      <c r="G558" s="39" t="n">
        <v>2</v>
      </c>
      <c r="H558" s="40" t="n">
        <v>380</v>
      </c>
    </row>
    <row r="559" s="33" customFormat="true" ht="14.25" hidden="false" customHeight="false" outlineLevel="0" collapsed="false">
      <c r="A559" s="34" t="n">
        <f aca="false">A558+1</f>
        <v>554</v>
      </c>
      <c r="B559" s="35" t="s">
        <v>345</v>
      </c>
      <c r="C559" s="35" t="str">
        <f aca="false">"0002247"</f>
        <v>0002247</v>
      </c>
      <c r="D559" s="37" t="s">
        <v>461</v>
      </c>
      <c r="E559" s="35" t="n">
        <v>2001</v>
      </c>
      <c r="F559" s="38" t="n">
        <v>3626.25</v>
      </c>
      <c r="G559" s="39" t="n">
        <v>1</v>
      </c>
      <c r="H559" s="44" t="s">
        <v>121</v>
      </c>
    </row>
    <row r="560" s="33" customFormat="true" ht="14.25" hidden="false" customHeight="false" outlineLevel="0" collapsed="false">
      <c r="A560" s="34" t="n">
        <f aca="false">A559+1</f>
        <v>555</v>
      </c>
      <c r="B560" s="35" t="s">
        <v>345</v>
      </c>
      <c r="C560" s="35" t="str">
        <f aca="false">"0002248"</f>
        <v>0002248</v>
      </c>
      <c r="D560" s="37" t="s">
        <v>462</v>
      </c>
      <c r="E560" s="35" t="n">
        <v>2001</v>
      </c>
      <c r="F560" s="38" t="n">
        <v>1794.01</v>
      </c>
      <c r="G560" s="39" t="n">
        <v>1</v>
      </c>
      <c r="H560" s="40" t="n">
        <v>110</v>
      </c>
    </row>
    <row r="561" s="33" customFormat="true" ht="14.25" hidden="false" customHeight="false" outlineLevel="0" collapsed="false">
      <c r="A561" s="34" t="n">
        <f aca="false">A560+1</f>
        <v>556</v>
      </c>
      <c r="B561" s="35" t="s">
        <v>345</v>
      </c>
      <c r="C561" s="35" t="str">
        <f aca="false">"0002249"</f>
        <v>0002249</v>
      </c>
      <c r="D561" s="37" t="s">
        <v>463</v>
      </c>
      <c r="E561" s="35" t="n">
        <v>2001</v>
      </c>
      <c r="F561" s="38" t="n">
        <v>1156.65</v>
      </c>
      <c r="G561" s="39" t="n">
        <v>1</v>
      </c>
      <c r="H561" s="40" t="n">
        <v>75</v>
      </c>
    </row>
    <row r="562" s="33" customFormat="true" ht="14.25" hidden="false" customHeight="false" outlineLevel="0" collapsed="false">
      <c r="A562" s="34" t="n">
        <f aca="false">A561+1</f>
        <v>557</v>
      </c>
      <c r="B562" s="35" t="s">
        <v>345</v>
      </c>
      <c r="C562" s="35" t="str">
        <f aca="false">"0002253"</f>
        <v>0002253</v>
      </c>
      <c r="D562" s="37" t="s">
        <v>464</v>
      </c>
      <c r="E562" s="35" t="n">
        <v>2001</v>
      </c>
      <c r="F562" s="38" t="n">
        <v>13264.25</v>
      </c>
      <c r="G562" s="39" t="n">
        <v>1</v>
      </c>
      <c r="H562" s="40" t="n">
        <v>840</v>
      </c>
    </row>
    <row r="563" s="33" customFormat="true" ht="14.25" hidden="false" customHeight="false" outlineLevel="0" collapsed="false">
      <c r="A563" s="34" t="n">
        <f aca="false">A562+1</f>
        <v>558</v>
      </c>
      <c r="B563" s="35" t="s">
        <v>345</v>
      </c>
      <c r="C563" s="35" t="str">
        <f aca="false">"0002335"</f>
        <v>0002335</v>
      </c>
      <c r="D563" s="37" t="s">
        <v>465</v>
      </c>
      <c r="E563" s="35" t="n">
        <v>1987</v>
      </c>
      <c r="F563" s="38" t="n">
        <f aca="false">48851.49*1.2</f>
        <v>58621.788</v>
      </c>
      <c r="G563" s="39" t="n">
        <v>1</v>
      </c>
      <c r="H563" s="40" t="n">
        <v>2900</v>
      </c>
    </row>
    <row r="564" s="33" customFormat="true" ht="14.25" hidden="false" customHeight="false" outlineLevel="0" collapsed="false">
      <c r="A564" s="34" t="n">
        <f aca="false">A563+1</f>
        <v>559</v>
      </c>
      <c r="B564" s="35" t="s">
        <v>345</v>
      </c>
      <c r="C564" s="35" t="str">
        <f aca="false">"0002383"</f>
        <v>0002383</v>
      </c>
      <c r="D564" s="37" t="s">
        <v>466</v>
      </c>
      <c r="E564" s="35" t="n">
        <v>2001</v>
      </c>
      <c r="F564" s="38" t="n">
        <v>4548</v>
      </c>
      <c r="G564" s="39" t="n">
        <v>1</v>
      </c>
      <c r="H564" s="40" t="n">
        <v>290</v>
      </c>
    </row>
    <row r="565" s="33" customFormat="true" ht="14.25" hidden="false" customHeight="false" outlineLevel="0" collapsed="false">
      <c r="A565" s="34" t="n">
        <f aca="false">A564+1</f>
        <v>560</v>
      </c>
      <c r="B565" s="35" t="s">
        <v>345</v>
      </c>
      <c r="C565" s="35" t="str">
        <f aca="false">"0002411"</f>
        <v>0002411</v>
      </c>
      <c r="D565" s="37" t="s">
        <v>467</v>
      </c>
      <c r="E565" s="35" t="n">
        <v>2001</v>
      </c>
      <c r="F565" s="38" t="n">
        <v>3934.73</v>
      </c>
      <c r="G565" s="39" t="n">
        <v>1</v>
      </c>
      <c r="H565" s="40" t="n">
        <v>250</v>
      </c>
    </row>
    <row r="566" s="33" customFormat="true" ht="14.25" hidden="false" customHeight="false" outlineLevel="0" collapsed="false">
      <c r="A566" s="34" t="n">
        <f aca="false">A565+1</f>
        <v>561</v>
      </c>
      <c r="B566" s="35" t="s">
        <v>345</v>
      </c>
      <c r="C566" s="35" t="str">
        <f aca="false">"0002438"</f>
        <v>0002438</v>
      </c>
      <c r="D566" s="37" t="s">
        <v>468</v>
      </c>
      <c r="E566" s="35" t="n">
        <v>1987</v>
      </c>
      <c r="F566" s="38" t="n">
        <f aca="false">4885.71*1.2</f>
        <v>5862.852</v>
      </c>
      <c r="G566" s="39" t="n">
        <v>1</v>
      </c>
      <c r="H566" s="40" t="n">
        <v>280</v>
      </c>
    </row>
    <row r="567" s="33" customFormat="true" ht="14.25" hidden="false" customHeight="false" outlineLevel="0" collapsed="false">
      <c r="A567" s="34" t="n">
        <f aca="false">A566+1</f>
        <v>562</v>
      </c>
      <c r="B567" s="35" t="s">
        <v>345</v>
      </c>
      <c r="C567" s="35" t="str">
        <f aca="false">"0002449"</f>
        <v>0002449</v>
      </c>
      <c r="D567" s="37" t="s">
        <v>469</v>
      </c>
      <c r="E567" s="35" t="n">
        <v>2001</v>
      </c>
      <c r="F567" s="38" t="n">
        <v>1401.82</v>
      </c>
      <c r="G567" s="39" t="n">
        <v>1</v>
      </c>
      <c r="H567" s="40" t="n">
        <v>90</v>
      </c>
    </row>
    <row r="568" s="33" customFormat="true" ht="14.25" hidden="false" customHeight="false" outlineLevel="0" collapsed="false">
      <c r="A568" s="34" t="n">
        <f aca="false">A567+1</f>
        <v>563</v>
      </c>
      <c r="B568" s="35" t="s">
        <v>345</v>
      </c>
      <c r="C568" s="35" t="str">
        <f aca="false">"0002450"</f>
        <v>0002450</v>
      </c>
      <c r="D568" s="37" t="s">
        <v>470</v>
      </c>
      <c r="E568" s="35" t="n">
        <v>2001</v>
      </c>
      <c r="F568" s="38" t="n">
        <v>2766.75</v>
      </c>
      <c r="G568" s="39" t="n">
        <v>2</v>
      </c>
      <c r="H568" s="40" t="n">
        <v>360</v>
      </c>
    </row>
    <row r="569" s="33" customFormat="true" ht="14.25" hidden="false" customHeight="false" outlineLevel="0" collapsed="false">
      <c r="A569" s="34" t="n">
        <f aca="false">A568+1</f>
        <v>564</v>
      </c>
      <c r="B569" s="35" t="s">
        <v>345</v>
      </c>
      <c r="C569" s="35" t="str">
        <f aca="false">"0002455"</f>
        <v>0002455</v>
      </c>
      <c r="D569" s="37" t="s">
        <v>471</v>
      </c>
      <c r="E569" s="35" t="n">
        <v>2001</v>
      </c>
      <c r="F569" s="38" t="n">
        <v>2592.88</v>
      </c>
      <c r="G569" s="39" t="n">
        <v>1</v>
      </c>
      <c r="H569" s="40" t="n">
        <v>160</v>
      </c>
    </row>
    <row r="570" s="33" customFormat="true" ht="14.25" hidden="false" customHeight="false" outlineLevel="0" collapsed="false">
      <c r="A570" s="34" t="n">
        <f aca="false">A569+1</f>
        <v>565</v>
      </c>
      <c r="B570" s="35" t="s">
        <v>345</v>
      </c>
      <c r="C570" s="35" t="str">
        <f aca="false">"0002456"</f>
        <v>0002456</v>
      </c>
      <c r="D570" s="37" t="s">
        <v>472</v>
      </c>
      <c r="E570" s="35" t="n">
        <v>2001</v>
      </c>
      <c r="F570" s="38" t="n">
        <v>10347.61</v>
      </c>
      <c r="G570" s="39" t="n">
        <v>2</v>
      </c>
      <c r="H570" s="40" t="n">
        <v>1260</v>
      </c>
    </row>
    <row r="571" s="33" customFormat="true" ht="14.25" hidden="false" customHeight="false" outlineLevel="0" collapsed="false">
      <c r="A571" s="34" t="n">
        <f aca="false">A570+1</f>
        <v>566</v>
      </c>
      <c r="B571" s="35" t="s">
        <v>345</v>
      </c>
      <c r="C571" s="35" t="str">
        <f aca="false">"0002458"</f>
        <v>0002458</v>
      </c>
      <c r="D571" s="37" t="s">
        <v>473</v>
      </c>
      <c r="E571" s="35" t="n">
        <v>2001</v>
      </c>
      <c r="F571" s="38" t="n">
        <v>18831.04</v>
      </c>
      <c r="G571" s="39" t="n">
        <v>1</v>
      </c>
      <c r="H571" s="40" t="n">
        <v>1150</v>
      </c>
    </row>
    <row r="572" s="33" customFormat="true" ht="14.25" hidden="false" customHeight="false" outlineLevel="0" collapsed="false">
      <c r="A572" s="34" t="n">
        <f aca="false">A571+1</f>
        <v>567</v>
      </c>
      <c r="B572" s="35" t="s">
        <v>345</v>
      </c>
      <c r="C572" s="35" t="str">
        <f aca="false">"0002459"</f>
        <v>0002459</v>
      </c>
      <c r="D572" s="37" t="s">
        <v>474</v>
      </c>
      <c r="E572" s="35" t="n">
        <v>2001</v>
      </c>
      <c r="F572" s="38" t="n">
        <v>3596.4</v>
      </c>
      <c r="G572" s="39" t="n">
        <v>1</v>
      </c>
      <c r="H572" s="40" t="n">
        <v>220</v>
      </c>
    </row>
    <row r="573" s="33" customFormat="true" ht="14.25" hidden="false" customHeight="false" outlineLevel="0" collapsed="false">
      <c r="A573" s="34" t="n">
        <f aca="false">A572+1</f>
        <v>568</v>
      </c>
      <c r="B573" s="35" t="s">
        <v>345</v>
      </c>
      <c r="C573" s="35" t="str">
        <f aca="false">"0002460"</f>
        <v>0002460</v>
      </c>
      <c r="D573" s="37" t="s">
        <v>475</v>
      </c>
      <c r="E573" s="35" t="n">
        <v>2001</v>
      </c>
      <c r="F573" s="38" t="n">
        <v>8439.96</v>
      </c>
      <c r="G573" s="39" t="n">
        <v>1</v>
      </c>
      <c r="H573" s="40" t="n">
        <v>520</v>
      </c>
    </row>
    <row r="574" s="33" customFormat="true" ht="14.25" hidden="false" customHeight="false" outlineLevel="0" collapsed="false">
      <c r="A574" s="34" t="n">
        <f aca="false">A573+1</f>
        <v>569</v>
      </c>
      <c r="B574" s="35" t="s">
        <v>345</v>
      </c>
      <c r="C574" s="35" t="str">
        <f aca="false">"0002461"</f>
        <v>0002461</v>
      </c>
      <c r="D574" s="37" t="s">
        <v>476</v>
      </c>
      <c r="E574" s="35" t="n">
        <v>2001</v>
      </c>
      <c r="F574" s="38" t="n">
        <v>2803.61</v>
      </c>
      <c r="G574" s="39" t="n">
        <v>1</v>
      </c>
      <c r="H574" s="40" t="n">
        <v>170</v>
      </c>
    </row>
    <row r="575" s="33" customFormat="true" ht="14.25" hidden="false" customHeight="false" outlineLevel="0" collapsed="false">
      <c r="A575" s="34" t="n">
        <f aca="false">A574+1</f>
        <v>570</v>
      </c>
      <c r="B575" s="35" t="s">
        <v>345</v>
      </c>
      <c r="C575" s="35" t="str">
        <f aca="false">"0002463"</f>
        <v>0002463</v>
      </c>
      <c r="D575" s="37" t="s">
        <v>477</v>
      </c>
      <c r="E575" s="35" t="n">
        <v>2001</v>
      </c>
      <c r="F575" s="38" t="n">
        <v>1439.88</v>
      </c>
      <c r="G575" s="39" t="n">
        <v>2</v>
      </c>
      <c r="H575" s="40" t="n">
        <v>180</v>
      </c>
    </row>
    <row r="576" s="33" customFormat="true" ht="14.25" hidden="false" customHeight="false" outlineLevel="0" collapsed="false">
      <c r="A576" s="34" t="n">
        <f aca="false">A575+1</f>
        <v>571</v>
      </c>
      <c r="B576" s="35" t="s">
        <v>345</v>
      </c>
      <c r="C576" s="35" t="str">
        <f aca="false">"0002465"</f>
        <v>0002465</v>
      </c>
      <c r="D576" s="37" t="s">
        <v>478</v>
      </c>
      <c r="E576" s="35" t="n">
        <v>2001</v>
      </c>
      <c r="F576" s="38" t="n">
        <v>1967.32</v>
      </c>
      <c r="G576" s="39" t="n">
        <v>4</v>
      </c>
      <c r="H576" s="40" t="n">
        <v>480</v>
      </c>
    </row>
    <row r="577" s="33" customFormat="true" ht="14.25" hidden="false" customHeight="false" outlineLevel="0" collapsed="false">
      <c r="A577" s="34" t="n">
        <f aca="false">A576+1</f>
        <v>572</v>
      </c>
      <c r="B577" s="35" t="s">
        <v>345</v>
      </c>
      <c r="C577" s="35" t="str">
        <f aca="false">"0002469"</f>
        <v>0002469</v>
      </c>
      <c r="D577" s="37" t="s">
        <v>479</v>
      </c>
      <c r="E577" s="35" t="n">
        <v>2001</v>
      </c>
      <c r="F577" s="38" t="n">
        <v>2192.97</v>
      </c>
      <c r="G577" s="39" t="n">
        <v>16</v>
      </c>
      <c r="H577" s="40" t="n">
        <v>2240</v>
      </c>
    </row>
    <row r="578" s="33" customFormat="true" ht="14.25" hidden="false" customHeight="false" outlineLevel="0" collapsed="false">
      <c r="A578" s="34" t="n">
        <f aca="false">A577+1</f>
        <v>573</v>
      </c>
      <c r="B578" s="35" t="s">
        <v>345</v>
      </c>
      <c r="C578" s="35" t="str">
        <f aca="false">"0002485"</f>
        <v>0002485</v>
      </c>
      <c r="D578" s="37" t="s">
        <v>480</v>
      </c>
      <c r="E578" s="35" t="n">
        <v>2001</v>
      </c>
      <c r="F578" s="38" t="n">
        <v>12535.74</v>
      </c>
      <c r="G578" s="39" t="n">
        <v>1</v>
      </c>
      <c r="H578" s="40" t="n">
        <v>790</v>
      </c>
    </row>
    <row r="579" s="33" customFormat="true" ht="14.25" hidden="false" customHeight="false" outlineLevel="0" collapsed="false">
      <c r="A579" s="34" t="n">
        <f aca="false">A578+1</f>
        <v>574</v>
      </c>
      <c r="B579" s="35" t="s">
        <v>345</v>
      </c>
      <c r="C579" s="35" t="str">
        <f aca="false">"0002486"</f>
        <v>0002486</v>
      </c>
      <c r="D579" s="37" t="s">
        <v>481</v>
      </c>
      <c r="E579" s="35" t="n">
        <v>2001</v>
      </c>
      <c r="F579" s="38" t="n">
        <v>11655.62</v>
      </c>
      <c r="G579" s="39" t="n">
        <v>1</v>
      </c>
      <c r="H579" s="40" t="n">
        <v>735</v>
      </c>
    </row>
    <row r="580" s="33" customFormat="true" ht="14.25" hidden="false" customHeight="false" outlineLevel="0" collapsed="false">
      <c r="A580" s="34" t="n">
        <f aca="false">A579+1</f>
        <v>575</v>
      </c>
      <c r="B580" s="35" t="s">
        <v>345</v>
      </c>
      <c r="C580" s="35" t="str">
        <f aca="false">"0002487"</f>
        <v>0002487</v>
      </c>
      <c r="D580" s="37" t="s">
        <v>482</v>
      </c>
      <c r="E580" s="35" t="n">
        <v>2001</v>
      </c>
      <c r="F580" s="38" t="n">
        <v>3785</v>
      </c>
      <c r="G580" s="39" t="n">
        <v>1</v>
      </c>
      <c r="H580" s="40" t="n">
        <v>230</v>
      </c>
    </row>
    <row r="581" s="33" customFormat="true" ht="14.25" hidden="false" customHeight="false" outlineLevel="0" collapsed="false">
      <c r="A581" s="34" t="n">
        <f aca="false">A580+1</f>
        <v>576</v>
      </c>
      <c r="B581" s="35" t="s">
        <v>345</v>
      </c>
      <c r="C581" s="35" t="str">
        <f aca="false">"0002488"</f>
        <v>0002488</v>
      </c>
      <c r="D581" s="37" t="s">
        <v>483</v>
      </c>
      <c r="E581" s="35" t="n">
        <v>2001</v>
      </c>
      <c r="F581" s="38" t="n">
        <v>18267.37</v>
      </c>
      <c r="G581" s="39" t="n">
        <v>2</v>
      </c>
      <c r="H581" s="40" t="n">
        <v>2300</v>
      </c>
    </row>
    <row r="582" s="33" customFormat="true" ht="14.25" hidden="false" customHeight="false" outlineLevel="0" collapsed="false">
      <c r="A582" s="34" t="n">
        <f aca="false">A581+1</f>
        <v>577</v>
      </c>
      <c r="B582" s="35" t="s">
        <v>345</v>
      </c>
      <c r="C582" s="35" t="str">
        <f aca="false">"0002492"</f>
        <v>0002492</v>
      </c>
      <c r="D582" s="37" t="s">
        <v>484</v>
      </c>
      <c r="E582" s="35" t="n">
        <v>2001</v>
      </c>
      <c r="F582" s="38" t="n">
        <v>1810.4</v>
      </c>
      <c r="G582" s="39" t="n">
        <v>1</v>
      </c>
      <c r="H582" s="40" t="n">
        <v>115</v>
      </c>
    </row>
    <row r="583" s="33" customFormat="true" ht="14.25" hidden="false" customHeight="false" outlineLevel="0" collapsed="false">
      <c r="A583" s="34" t="n">
        <f aca="false">A582+1</f>
        <v>578</v>
      </c>
      <c r="B583" s="35" t="s">
        <v>345</v>
      </c>
      <c r="C583" s="35" t="str">
        <f aca="false">"0002498"</f>
        <v>0002498</v>
      </c>
      <c r="D583" s="37" t="s">
        <v>485</v>
      </c>
      <c r="E583" s="35" t="n">
        <v>2001</v>
      </c>
      <c r="F583" s="38" t="n">
        <v>1528.88</v>
      </c>
      <c r="G583" s="39" t="n">
        <v>1</v>
      </c>
      <c r="H583" s="40" t="n">
        <v>100</v>
      </c>
    </row>
    <row r="584" s="33" customFormat="true" ht="14.25" hidden="false" customHeight="false" outlineLevel="0" collapsed="false">
      <c r="A584" s="34" t="n">
        <f aca="false">A583+1</f>
        <v>579</v>
      </c>
      <c r="B584" s="35" t="s">
        <v>345</v>
      </c>
      <c r="C584" s="35" t="str">
        <f aca="false">"0002499"</f>
        <v>0002499</v>
      </c>
      <c r="D584" s="37" t="s">
        <v>486</v>
      </c>
      <c r="E584" s="35" t="n">
        <v>2001</v>
      </c>
      <c r="F584" s="38" t="n">
        <v>1013.88</v>
      </c>
      <c r="G584" s="39" t="n">
        <v>1</v>
      </c>
      <c r="H584" s="40" t="n">
        <v>65</v>
      </c>
    </row>
    <row r="585" s="33" customFormat="true" ht="14.25" hidden="false" customHeight="false" outlineLevel="0" collapsed="false">
      <c r="A585" s="34" t="n">
        <f aca="false">A584+1</f>
        <v>580</v>
      </c>
      <c r="B585" s="35" t="s">
        <v>345</v>
      </c>
      <c r="C585" s="35" t="str">
        <f aca="false">"0002547"</f>
        <v>0002547</v>
      </c>
      <c r="D585" s="37" t="s">
        <v>487</v>
      </c>
      <c r="E585" s="35" t="n">
        <v>2001</v>
      </c>
      <c r="F585" s="38" t="n">
        <v>38015.8</v>
      </c>
      <c r="G585" s="39" t="n">
        <v>1</v>
      </c>
      <c r="H585" s="40" t="n">
        <v>2400</v>
      </c>
    </row>
    <row r="586" s="33" customFormat="true" ht="14.25" hidden="false" customHeight="false" outlineLevel="0" collapsed="false">
      <c r="A586" s="34" t="n">
        <f aca="false">A585+1</f>
        <v>581</v>
      </c>
      <c r="B586" s="35" t="s">
        <v>345</v>
      </c>
      <c r="C586" s="35" t="str">
        <f aca="false">"0002548"</f>
        <v>0002548</v>
      </c>
      <c r="D586" s="37" t="s">
        <v>488</v>
      </c>
      <c r="E586" s="35" t="n">
        <v>2001</v>
      </c>
      <c r="F586" s="38" t="n">
        <v>8230.2</v>
      </c>
      <c r="G586" s="39" t="n">
        <v>1</v>
      </c>
      <c r="H586" s="40" t="n">
        <v>520</v>
      </c>
    </row>
    <row r="587" s="33" customFormat="true" ht="14.25" hidden="false" customHeight="false" outlineLevel="0" collapsed="false">
      <c r="A587" s="34" t="n">
        <f aca="false">A586+1</f>
        <v>582</v>
      </c>
      <c r="B587" s="35" t="s">
        <v>345</v>
      </c>
      <c r="C587" s="35" t="str">
        <f aca="false">"0002559"</f>
        <v>0002559</v>
      </c>
      <c r="D587" s="37" t="s">
        <v>489</v>
      </c>
      <c r="E587" s="35" t="n">
        <v>2001</v>
      </c>
      <c r="F587" s="38" t="n">
        <v>6496.45</v>
      </c>
      <c r="G587" s="39" t="n">
        <v>1</v>
      </c>
      <c r="H587" s="40" t="n">
        <v>410</v>
      </c>
    </row>
    <row r="588" s="33" customFormat="true" ht="14.25" hidden="false" customHeight="false" outlineLevel="0" collapsed="false">
      <c r="A588" s="34" t="n">
        <f aca="false">A587+1</f>
        <v>583</v>
      </c>
      <c r="B588" s="35" t="s">
        <v>345</v>
      </c>
      <c r="C588" s="35" t="str">
        <f aca="false">"0002560"</f>
        <v>0002560</v>
      </c>
      <c r="D588" s="37" t="s">
        <v>489</v>
      </c>
      <c r="E588" s="35" t="n">
        <v>2001</v>
      </c>
      <c r="F588" s="38" t="n">
        <v>1502.03</v>
      </c>
      <c r="G588" s="39" t="n">
        <v>1</v>
      </c>
      <c r="H588" s="40" t="n">
        <v>95</v>
      </c>
    </row>
    <row r="589" s="33" customFormat="true" ht="14.25" hidden="false" customHeight="false" outlineLevel="0" collapsed="false">
      <c r="A589" s="34" t="n">
        <f aca="false">A588+1</f>
        <v>584</v>
      </c>
      <c r="B589" s="35" t="s">
        <v>345</v>
      </c>
      <c r="C589" s="35" t="str">
        <f aca="false">"0002561"</f>
        <v>0002561</v>
      </c>
      <c r="D589" s="37" t="s">
        <v>490</v>
      </c>
      <c r="E589" s="35" t="n">
        <v>2001</v>
      </c>
      <c r="F589" s="38" t="n">
        <v>8806.2</v>
      </c>
      <c r="G589" s="39" t="n">
        <v>1</v>
      </c>
      <c r="H589" s="40" t="n">
        <v>540</v>
      </c>
    </row>
    <row r="590" s="33" customFormat="true" ht="14.25" hidden="false" customHeight="false" outlineLevel="0" collapsed="false">
      <c r="A590" s="34" t="n">
        <f aca="false">A589+1</f>
        <v>585</v>
      </c>
      <c r="B590" s="35" t="s">
        <v>345</v>
      </c>
      <c r="C590" s="35" t="str">
        <f aca="false">"0002583"</f>
        <v>0002583</v>
      </c>
      <c r="D590" s="37" t="s">
        <v>491</v>
      </c>
      <c r="E590" s="35" t="n">
        <v>2001</v>
      </c>
      <c r="F590" s="38" t="n">
        <v>8579.46</v>
      </c>
      <c r="G590" s="39" t="n">
        <v>1</v>
      </c>
      <c r="H590" s="40" t="n">
        <v>525</v>
      </c>
    </row>
    <row r="591" s="33" customFormat="true" ht="14.25" hidden="false" customHeight="false" outlineLevel="0" collapsed="false">
      <c r="A591" s="34" t="n">
        <f aca="false">A590+1</f>
        <v>586</v>
      </c>
      <c r="B591" s="35" t="s">
        <v>345</v>
      </c>
      <c r="C591" s="35" t="str">
        <f aca="false">"0002584"</f>
        <v>0002584</v>
      </c>
      <c r="D591" s="37" t="s">
        <v>492</v>
      </c>
      <c r="E591" s="35" t="n">
        <v>2001</v>
      </c>
      <c r="F591" s="38" t="n">
        <v>6511.46</v>
      </c>
      <c r="G591" s="39" t="n">
        <v>1</v>
      </c>
      <c r="H591" s="40" t="n">
        <v>400</v>
      </c>
    </row>
    <row r="592" s="33" customFormat="true" ht="14.25" hidden="false" customHeight="false" outlineLevel="0" collapsed="false">
      <c r="A592" s="34" t="n">
        <f aca="false">A591+1</f>
        <v>587</v>
      </c>
      <c r="B592" s="35" t="s">
        <v>345</v>
      </c>
      <c r="C592" s="35" t="str">
        <f aca="false">"0002585"</f>
        <v>0002585</v>
      </c>
      <c r="D592" s="37" t="s">
        <v>493</v>
      </c>
      <c r="E592" s="35" t="n">
        <v>2001</v>
      </c>
      <c r="F592" s="38" t="n">
        <v>2530.12</v>
      </c>
      <c r="G592" s="39" t="n">
        <v>1</v>
      </c>
      <c r="H592" s="40" t="n">
        <v>160</v>
      </c>
    </row>
    <row r="593" s="33" customFormat="true" ht="14.25" hidden="false" customHeight="false" outlineLevel="0" collapsed="false">
      <c r="A593" s="34" t="n">
        <f aca="false">A592+1</f>
        <v>588</v>
      </c>
      <c r="B593" s="35" t="s">
        <v>345</v>
      </c>
      <c r="C593" s="35" t="str">
        <f aca="false">"0002593"</f>
        <v>0002593</v>
      </c>
      <c r="D593" s="37" t="s">
        <v>494</v>
      </c>
      <c r="E593" s="35" t="n">
        <v>2001</v>
      </c>
      <c r="F593" s="38" t="n">
        <v>9226</v>
      </c>
      <c r="G593" s="39" t="n">
        <v>1</v>
      </c>
      <c r="H593" s="40" t="n">
        <v>580</v>
      </c>
    </row>
    <row r="594" s="33" customFormat="true" ht="14.25" hidden="false" customHeight="false" outlineLevel="0" collapsed="false">
      <c r="A594" s="34" t="n">
        <f aca="false">A593+1</f>
        <v>589</v>
      </c>
      <c r="B594" s="35" t="s">
        <v>345</v>
      </c>
      <c r="C594" s="35" t="str">
        <f aca="false">"0002601"</f>
        <v>0002601</v>
      </c>
      <c r="D594" s="37" t="s">
        <v>495</v>
      </c>
      <c r="E594" s="35" t="n">
        <v>2001</v>
      </c>
      <c r="F594" s="38" t="n">
        <v>15733</v>
      </c>
      <c r="G594" s="39" t="n">
        <v>1</v>
      </c>
      <c r="H594" s="40" t="n">
        <v>990</v>
      </c>
    </row>
    <row r="595" s="33" customFormat="true" ht="14.25" hidden="false" customHeight="false" outlineLevel="0" collapsed="false">
      <c r="A595" s="34" t="n">
        <f aca="false">A594+1</f>
        <v>590</v>
      </c>
      <c r="B595" s="35" t="s">
        <v>345</v>
      </c>
      <c r="C595" s="35" t="str">
        <f aca="false">"0002602"</f>
        <v>0002602</v>
      </c>
      <c r="D595" s="37" t="s">
        <v>496</v>
      </c>
      <c r="E595" s="35" t="n">
        <v>2001</v>
      </c>
      <c r="F595" s="38" t="n">
        <v>9970.4</v>
      </c>
      <c r="G595" s="39" t="n">
        <v>1</v>
      </c>
      <c r="H595" s="40" t="n">
        <v>630</v>
      </c>
    </row>
    <row r="596" s="33" customFormat="true" ht="14.25" hidden="false" customHeight="false" outlineLevel="0" collapsed="false">
      <c r="A596" s="34" t="n">
        <f aca="false">A595+1</f>
        <v>591</v>
      </c>
      <c r="B596" s="35" t="s">
        <v>345</v>
      </c>
      <c r="C596" s="35" t="str">
        <f aca="false">"0002603"</f>
        <v>0002603</v>
      </c>
      <c r="D596" s="37" t="s">
        <v>497</v>
      </c>
      <c r="E596" s="35" t="n">
        <v>2001</v>
      </c>
      <c r="F596" s="38" t="n">
        <v>10792.77</v>
      </c>
      <c r="G596" s="39" t="n">
        <v>1</v>
      </c>
      <c r="H596" s="40" t="n">
        <v>680</v>
      </c>
    </row>
    <row r="597" s="33" customFormat="true" ht="14.25" hidden="false" customHeight="false" outlineLevel="0" collapsed="false">
      <c r="A597" s="34" t="n">
        <f aca="false">A596+1</f>
        <v>592</v>
      </c>
      <c r="B597" s="35" t="s">
        <v>345</v>
      </c>
      <c r="C597" s="35" t="str">
        <f aca="false">"0002610"</f>
        <v>0002610</v>
      </c>
      <c r="D597" s="37" t="s">
        <v>498</v>
      </c>
      <c r="E597" s="35" t="n">
        <v>2001</v>
      </c>
      <c r="F597" s="38" t="n">
        <v>10070</v>
      </c>
      <c r="G597" s="39" t="n">
        <v>1</v>
      </c>
      <c r="H597" s="40" t="n">
        <v>635</v>
      </c>
    </row>
    <row r="598" s="33" customFormat="true" ht="14.25" hidden="false" customHeight="false" outlineLevel="0" collapsed="false">
      <c r="A598" s="34" t="n">
        <f aca="false">A597+1</f>
        <v>593</v>
      </c>
      <c r="B598" s="35" t="s">
        <v>345</v>
      </c>
      <c r="C598" s="35" t="str">
        <f aca="false">"0002613"</f>
        <v>0002613</v>
      </c>
      <c r="D598" s="37" t="s">
        <v>499</v>
      </c>
      <c r="E598" s="35" t="n">
        <v>2001</v>
      </c>
      <c r="F598" s="38" t="n">
        <v>13404</v>
      </c>
      <c r="G598" s="39" t="n">
        <v>1</v>
      </c>
      <c r="H598" s="40" t="n">
        <v>845</v>
      </c>
    </row>
    <row r="599" s="33" customFormat="true" ht="14.25" hidden="false" customHeight="false" outlineLevel="0" collapsed="false">
      <c r="A599" s="34" t="n">
        <f aca="false">A598+1</f>
        <v>594</v>
      </c>
      <c r="B599" s="35" t="s">
        <v>345</v>
      </c>
      <c r="C599" s="35" t="str">
        <f aca="false">"0002614"</f>
        <v>0002614</v>
      </c>
      <c r="D599" s="37" t="s">
        <v>500</v>
      </c>
      <c r="E599" s="35" t="n">
        <v>2001</v>
      </c>
      <c r="F599" s="38" t="n">
        <v>1457.9</v>
      </c>
      <c r="G599" s="39" t="n">
        <v>1</v>
      </c>
      <c r="H599" s="40" t="n">
        <v>90</v>
      </c>
    </row>
    <row r="600" s="33" customFormat="true" ht="14.25" hidden="false" customHeight="false" outlineLevel="0" collapsed="false">
      <c r="A600" s="34" t="n">
        <f aca="false">A599+1</f>
        <v>595</v>
      </c>
      <c r="B600" s="35" t="s">
        <v>345</v>
      </c>
      <c r="C600" s="35" t="str">
        <f aca="false">"0002615"</f>
        <v>0002615</v>
      </c>
      <c r="D600" s="37" t="s">
        <v>501</v>
      </c>
      <c r="E600" s="35" t="n">
        <v>2001</v>
      </c>
      <c r="F600" s="38" t="n">
        <v>1978.23</v>
      </c>
      <c r="G600" s="39" t="n">
        <v>1</v>
      </c>
      <c r="H600" s="40" t="n">
        <v>125</v>
      </c>
    </row>
    <row r="601" s="33" customFormat="true" ht="14.25" hidden="false" customHeight="false" outlineLevel="0" collapsed="false">
      <c r="A601" s="34" t="n">
        <f aca="false">A600+1</f>
        <v>596</v>
      </c>
      <c r="B601" s="35" t="s">
        <v>345</v>
      </c>
      <c r="C601" s="35" t="str">
        <f aca="false">"0002616"</f>
        <v>0002616</v>
      </c>
      <c r="D601" s="37" t="s">
        <v>502</v>
      </c>
      <c r="E601" s="35" t="n">
        <v>2001</v>
      </c>
      <c r="F601" s="38" t="n">
        <v>10961</v>
      </c>
      <c r="G601" s="39" t="n">
        <v>1</v>
      </c>
      <c r="H601" s="40" t="n">
        <v>690</v>
      </c>
    </row>
    <row r="602" s="33" customFormat="true" ht="14.25" hidden="false" customHeight="false" outlineLevel="0" collapsed="false">
      <c r="A602" s="34" t="n">
        <f aca="false">A601+1</f>
        <v>597</v>
      </c>
      <c r="B602" s="35" t="s">
        <v>345</v>
      </c>
      <c r="C602" s="35" t="str">
        <f aca="false">"0002617"</f>
        <v>0002617</v>
      </c>
      <c r="D602" s="37" t="s">
        <v>503</v>
      </c>
      <c r="E602" s="35" t="n">
        <v>2001</v>
      </c>
      <c r="F602" s="38" t="n">
        <v>1246.54</v>
      </c>
      <c r="G602" s="39" t="n">
        <v>1</v>
      </c>
      <c r="H602" s="40" t="n">
        <v>80</v>
      </c>
    </row>
    <row r="603" s="33" customFormat="true" ht="14.25" hidden="false" customHeight="false" outlineLevel="0" collapsed="false">
      <c r="A603" s="34" t="n">
        <f aca="false">A602+1</f>
        <v>598</v>
      </c>
      <c r="B603" s="35" t="s">
        <v>345</v>
      </c>
      <c r="C603" s="35" t="str">
        <f aca="false">"0002619"</f>
        <v>0002619</v>
      </c>
      <c r="D603" s="37" t="s">
        <v>504</v>
      </c>
      <c r="E603" s="35" t="n">
        <v>2001</v>
      </c>
      <c r="F603" s="38" t="n">
        <v>5500</v>
      </c>
      <c r="G603" s="39" t="n">
        <v>1</v>
      </c>
      <c r="H603" s="40" t="n">
        <v>350</v>
      </c>
    </row>
    <row r="604" s="33" customFormat="true" ht="14.25" hidden="false" customHeight="false" outlineLevel="0" collapsed="false">
      <c r="A604" s="34" t="n">
        <f aca="false">A603+1</f>
        <v>599</v>
      </c>
      <c r="B604" s="35" t="s">
        <v>345</v>
      </c>
      <c r="C604" s="35" t="str">
        <f aca="false">"0002687"</f>
        <v>0002687</v>
      </c>
      <c r="D604" s="37" t="s">
        <v>505</v>
      </c>
      <c r="E604" s="35" t="n">
        <v>2001</v>
      </c>
      <c r="F604" s="38" t="n">
        <v>1580.04</v>
      </c>
      <c r="G604" s="39" t="n">
        <v>1</v>
      </c>
      <c r="H604" s="40" t="n">
        <v>100</v>
      </c>
    </row>
    <row r="605" s="33" customFormat="true" ht="14.25" hidden="false" customHeight="false" outlineLevel="0" collapsed="false">
      <c r="A605" s="34" t="n">
        <f aca="false">A604+1</f>
        <v>600</v>
      </c>
      <c r="B605" s="35" t="s">
        <v>345</v>
      </c>
      <c r="C605" s="35" t="str">
        <f aca="false">"0002727"</f>
        <v>0002727</v>
      </c>
      <c r="D605" s="37" t="s">
        <v>506</v>
      </c>
      <c r="E605" s="35" t="n">
        <v>2001</v>
      </c>
      <c r="F605" s="38" t="n">
        <v>2468.07</v>
      </c>
      <c r="G605" s="39" t="n">
        <v>1</v>
      </c>
      <c r="H605" s="40" t="n">
        <v>160</v>
      </c>
    </row>
    <row r="606" s="33" customFormat="true" ht="14.25" hidden="false" customHeight="false" outlineLevel="0" collapsed="false">
      <c r="A606" s="34" t="n">
        <f aca="false">A605+1</f>
        <v>601</v>
      </c>
      <c r="B606" s="35" t="s">
        <v>345</v>
      </c>
      <c r="C606" s="35" t="str">
        <f aca="false">"0002740"</f>
        <v>0002740</v>
      </c>
      <c r="D606" s="37" t="s">
        <v>507</v>
      </c>
      <c r="E606" s="35" t="n">
        <v>2001</v>
      </c>
      <c r="F606" s="38" t="n">
        <v>6831.57</v>
      </c>
      <c r="G606" s="39" t="n">
        <v>1</v>
      </c>
      <c r="H606" s="40" t="n">
        <v>430</v>
      </c>
    </row>
    <row r="607" s="33" customFormat="true" ht="14.25" hidden="false" customHeight="false" outlineLevel="0" collapsed="false">
      <c r="A607" s="34" t="n">
        <f aca="false">A606+1</f>
        <v>602</v>
      </c>
      <c r="B607" s="35" t="s">
        <v>345</v>
      </c>
      <c r="C607" s="35" t="str">
        <f aca="false">"0002787"</f>
        <v>0002787</v>
      </c>
      <c r="D607" s="37" t="s">
        <v>368</v>
      </c>
      <c r="E607" s="35" t="n">
        <v>2002</v>
      </c>
      <c r="F607" s="38" t="n">
        <v>6649.8</v>
      </c>
      <c r="G607" s="39" t="n">
        <v>1</v>
      </c>
      <c r="H607" s="40" t="n">
        <v>430</v>
      </c>
    </row>
    <row r="608" s="33" customFormat="true" ht="14.25" hidden="false" customHeight="false" outlineLevel="0" collapsed="false">
      <c r="A608" s="34" t="n">
        <f aca="false">A607+1</f>
        <v>603</v>
      </c>
      <c r="B608" s="35" t="s">
        <v>345</v>
      </c>
      <c r="C608" s="35" t="str">
        <f aca="false">"0002813"</f>
        <v>0002813</v>
      </c>
      <c r="D608" s="37" t="s">
        <v>508</v>
      </c>
      <c r="E608" s="35" t="n">
        <v>1987</v>
      </c>
      <c r="F608" s="38" t="n">
        <f aca="false">24422.93*1.2</f>
        <v>29307.516</v>
      </c>
      <c r="G608" s="39" t="n">
        <v>2</v>
      </c>
      <c r="H608" s="40" t="n">
        <v>2900</v>
      </c>
    </row>
    <row r="609" s="33" customFormat="true" ht="14.25" hidden="false" customHeight="false" outlineLevel="0" collapsed="false">
      <c r="A609" s="34" t="n">
        <f aca="false">A608+1</f>
        <v>604</v>
      </c>
      <c r="B609" s="35" t="s">
        <v>345</v>
      </c>
      <c r="C609" s="35" t="str">
        <f aca="false">"0002820"</f>
        <v>0002820</v>
      </c>
      <c r="D609" s="37" t="s">
        <v>509</v>
      </c>
      <c r="E609" s="35" t="n">
        <v>2002</v>
      </c>
      <c r="F609" s="38" t="n">
        <v>2969.6</v>
      </c>
      <c r="G609" s="39" t="n">
        <v>1</v>
      </c>
      <c r="H609" s="40" t="n">
        <v>190</v>
      </c>
    </row>
    <row r="610" s="33" customFormat="true" ht="14.25" hidden="false" customHeight="false" outlineLevel="0" collapsed="false">
      <c r="A610" s="34" t="n">
        <f aca="false">A609+1</f>
        <v>605</v>
      </c>
      <c r="B610" s="35" t="s">
        <v>345</v>
      </c>
      <c r="C610" s="35" t="str">
        <f aca="false">"0002837"</f>
        <v>0002837</v>
      </c>
      <c r="D610" s="37" t="s">
        <v>510</v>
      </c>
      <c r="E610" s="35" t="n">
        <v>2002</v>
      </c>
      <c r="F610" s="38" t="n">
        <v>5052.88</v>
      </c>
      <c r="G610" s="39" t="n">
        <v>1</v>
      </c>
      <c r="H610" s="40" t="n">
        <v>315</v>
      </c>
    </row>
    <row r="611" s="33" customFormat="true" ht="14.25" hidden="false" customHeight="false" outlineLevel="0" collapsed="false">
      <c r="A611" s="34" t="n">
        <f aca="false">A610+1</f>
        <v>606</v>
      </c>
      <c r="B611" s="35" t="s">
        <v>345</v>
      </c>
      <c r="C611" s="35" t="str">
        <f aca="false">"0002842"</f>
        <v>0002842</v>
      </c>
      <c r="D611" s="37" t="s">
        <v>511</v>
      </c>
      <c r="E611" s="35" t="n">
        <v>2002</v>
      </c>
      <c r="F611" s="38" t="n">
        <v>2437.8</v>
      </c>
      <c r="G611" s="39" t="n">
        <v>1</v>
      </c>
      <c r="H611" s="40" t="n">
        <v>160</v>
      </c>
    </row>
    <row r="612" s="33" customFormat="true" ht="14.25" hidden="false" customHeight="false" outlineLevel="0" collapsed="false">
      <c r="A612" s="34" t="n">
        <f aca="false">A611+1</f>
        <v>607</v>
      </c>
      <c r="B612" s="35" t="s">
        <v>345</v>
      </c>
      <c r="C612" s="35" t="str">
        <f aca="false">"0002845"</f>
        <v>0002845</v>
      </c>
      <c r="D612" s="37" t="s">
        <v>512</v>
      </c>
      <c r="E612" s="35" t="n">
        <v>2002</v>
      </c>
      <c r="F612" s="38" t="n">
        <v>15233</v>
      </c>
      <c r="G612" s="39" t="n">
        <v>12</v>
      </c>
      <c r="H612" s="40" t="n">
        <v>11760</v>
      </c>
    </row>
    <row r="613" s="33" customFormat="true" ht="14.25" hidden="false" customHeight="false" outlineLevel="0" collapsed="false">
      <c r="A613" s="34" t="n">
        <f aca="false">A612+1</f>
        <v>608</v>
      </c>
      <c r="B613" s="35" t="s">
        <v>345</v>
      </c>
      <c r="C613" s="35" t="str">
        <f aca="false">"0002857"</f>
        <v>0002857</v>
      </c>
      <c r="D613" s="37" t="s">
        <v>513</v>
      </c>
      <c r="E613" s="35" t="n">
        <v>2002</v>
      </c>
      <c r="F613" s="38" t="n">
        <v>1708.74</v>
      </c>
      <c r="G613" s="39" t="n">
        <v>1</v>
      </c>
      <c r="H613" s="40" t="n">
        <v>110</v>
      </c>
    </row>
    <row r="614" s="33" customFormat="true" ht="14.25" hidden="false" customHeight="false" outlineLevel="0" collapsed="false">
      <c r="A614" s="34" t="n">
        <f aca="false">A613+1</f>
        <v>609</v>
      </c>
      <c r="B614" s="35" t="s">
        <v>345</v>
      </c>
      <c r="C614" s="35" t="str">
        <f aca="false">"0002860"</f>
        <v>0002860</v>
      </c>
      <c r="D614" s="37" t="s">
        <v>514</v>
      </c>
      <c r="E614" s="35" t="n">
        <v>2002</v>
      </c>
      <c r="F614" s="38" t="n">
        <v>7273</v>
      </c>
      <c r="G614" s="39" t="n">
        <v>1</v>
      </c>
      <c r="H614" s="40" t="n">
        <v>465</v>
      </c>
    </row>
    <row r="615" s="33" customFormat="true" ht="14.25" hidden="false" customHeight="false" outlineLevel="0" collapsed="false">
      <c r="A615" s="34" t="n">
        <f aca="false">A614+1</f>
        <v>610</v>
      </c>
      <c r="B615" s="35" t="s">
        <v>345</v>
      </c>
      <c r="C615" s="35" t="str">
        <f aca="false">"0002861"</f>
        <v>0002861</v>
      </c>
      <c r="D615" s="37" t="s">
        <v>515</v>
      </c>
      <c r="E615" s="35" t="n">
        <v>2002</v>
      </c>
      <c r="F615" s="38" t="n">
        <v>2515.05</v>
      </c>
      <c r="G615" s="39" t="n">
        <v>1</v>
      </c>
      <c r="H615" s="40" t="n">
        <v>160</v>
      </c>
    </row>
    <row r="616" s="33" customFormat="true" ht="14.25" hidden="false" customHeight="false" outlineLevel="0" collapsed="false">
      <c r="A616" s="34" t="n">
        <f aca="false">A615+1</f>
        <v>611</v>
      </c>
      <c r="B616" s="35" t="s">
        <v>345</v>
      </c>
      <c r="C616" s="35" t="str">
        <f aca="false">"0002872"</f>
        <v>0002872</v>
      </c>
      <c r="D616" s="37" t="s">
        <v>516</v>
      </c>
      <c r="E616" s="35" t="n">
        <v>2002</v>
      </c>
      <c r="F616" s="38" t="n">
        <v>3520.5</v>
      </c>
      <c r="G616" s="39" t="n">
        <v>1</v>
      </c>
      <c r="H616" s="40" t="n">
        <v>230</v>
      </c>
    </row>
    <row r="617" s="33" customFormat="true" ht="14.25" hidden="false" customHeight="false" outlineLevel="0" collapsed="false">
      <c r="A617" s="34" t="n">
        <f aca="false">A616+1</f>
        <v>612</v>
      </c>
      <c r="B617" s="35" t="s">
        <v>345</v>
      </c>
      <c r="C617" s="35" t="str">
        <f aca="false">"0002875"</f>
        <v>0002875</v>
      </c>
      <c r="D617" s="37" t="s">
        <v>517</v>
      </c>
      <c r="E617" s="35" t="n">
        <v>2002</v>
      </c>
      <c r="F617" s="38" t="n">
        <v>3848.1</v>
      </c>
      <c r="G617" s="39" t="n">
        <v>1</v>
      </c>
      <c r="H617" s="40" t="n">
        <v>250</v>
      </c>
    </row>
    <row r="618" s="33" customFormat="true" ht="14.25" hidden="false" customHeight="false" outlineLevel="0" collapsed="false">
      <c r="A618" s="34" t="n">
        <f aca="false">A617+1</f>
        <v>613</v>
      </c>
      <c r="B618" s="35" t="s">
        <v>345</v>
      </c>
      <c r="C618" s="35" t="str">
        <f aca="false">"0002876"</f>
        <v>0002876</v>
      </c>
      <c r="D618" s="37" t="s">
        <v>518</v>
      </c>
      <c r="E618" s="35" t="n">
        <v>2002</v>
      </c>
      <c r="F618" s="38" t="n">
        <v>1078.5</v>
      </c>
      <c r="G618" s="39" t="n">
        <v>5</v>
      </c>
      <c r="H618" s="40" t="n">
        <v>350</v>
      </c>
    </row>
    <row r="619" s="33" customFormat="true" ht="14.25" hidden="false" customHeight="false" outlineLevel="0" collapsed="false">
      <c r="A619" s="34" t="n">
        <f aca="false">A618+1</f>
        <v>614</v>
      </c>
      <c r="B619" s="35" t="s">
        <v>345</v>
      </c>
      <c r="C619" s="35" t="str">
        <f aca="false">"0002885"</f>
        <v>0002885</v>
      </c>
      <c r="D619" s="37" t="s">
        <v>519</v>
      </c>
      <c r="E619" s="35" t="n">
        <v>2002</v>
      </c>
      <c r="F619" s="38" t="n">
        <v>41304</v>
      </c>
      <c r="G619" s="39" t="n">
        <v>1</v>
      </c>
      <c r="H619" s="40" t="n">
        <v>2650</v>
      </c>
    </row>
    <row r="620" s="33" customFormat="true" ht="14.25" hidden="false" customHeight="false" outlineLevel="0" collapsed="false">
      <c r="A620" s="34" t="n">
        <f aca="false">A619+1</f>
        <v>615</v>
      </c>
      <c r="B620" s="35" t="s">
        <v>345</v>
      </c>
      <c r="C620" s="35" t="str">
        <f aca="false">"0002886"</f>
        <v>0002886</v>
      </c>
      <c r="D620" s="37" t="s">
        <v>520</v>
      </c>
      <c r="E620" s="35" t="n">
        <v>2002</v>
      </c>
      <c r="F620" s="38" t="n">
        <v>5678.16</v>
      </c>
      <c r="G620" s="39" t="n">
        <v>2</v>
      </c>
      <c r="H620" s="40" t="n">
        <v>730</v>
      </c>
    </row>
    <row r="621" s="33" customFormat="true" ht="14.25" hidden="false" customHeight="false" outlineLevel="0" collapsed="false">
      <c r="A621" s="34" t="n">
        <f aca="false">A620+1</f>
        <v>616</v>
      </c>
      <c r="B621" s="35" t="s">
        <v>345</v>
      </c>
      <c r="C621" s="35" t="str">
        <f aca="false">"0002911"</f>
        <v>0002911</v>
      </c>
      <c r="D621" s="37" t="s">
        <v>521</v>
      </c>
      <c r="E621" s="35" t="n">
        <v>1987</v>
      </c>
      <c r="F621" s="38" t="n">
        <f aca="false">3419598.48*1.2</f>
        <v>4103518.176</v>
      </c>
      <c r="G621" s="39" t="n">
        <v>1</v>
      </c>
      <c r="H621" s="40" t="n">
        <v>203550</v>
      </c>
    </row>
    <row r="622" s="33" customFormat="true" ht="14.25" hidden="false" customHeight="false" outlineLevel="0" collapsed="false">
      <c r="A622" s="34" t="n">
        <f aca="false">A621+1</f>
        <v>617</v>
      </c>
      <c r="B622" s="35" t="s">
        <v>345</v>
      </c>
      <c r="C622" s="35" t="str">
        <f aca="false">"0002912"</f>
        <v>0002912</v>
      </c>
      <c r="D622" s="37" t="s">
        <v>522</v>
      </c>
      <c r="E622" s="35" t="n">
        <v>1987</v>
      </c>
      <c r="F622" s="38" t="n">
        <f aca="false">4885143.1*1.2</f>
        <v>5862171.72</v>
      </c>
      <c r="G622" s="39" t="n">
        <v>1</v>
      </c>
      <c r="H622" s="40" t="n">
        <v>307650</v>
      </c>
    </row>
    <row r="623" s="33" customFormat="true" ht="14.25" hidden="false" customHeight="false" outlineLevel="0" collapsed="false">
      <c r="A623" s="34" t="n">
        <f aca="false">A622+1</f>
        <v>618</v>
      </c>
      <c r="B623" s="35" t="s">
        <v>345</v>
      </c>
      <c r="C623" s="35" t="str">
        <f aca="false">"0002927"</f>
        <v>0002927</v>
      </c>
      <c r="D623" s="37" t="s">
        <v>523</v>
      </c>
      <c r="E623" s="35" t="n">
        <v>2002</v>
      </c>
      <c r="F623" s="38" t="n">
        <v>4376</v>
      </c>
      <c r="G623" s="39" t="n">
        <v>1</v>
      </c>
      <c r="H623" s="40" t="n">
        <v>280</v>
      </c>
    </row>
    <row r="624" s="33" customFormat="true" ht="14.25" hidden="false" customHeight="false" outlineLevel="0" collapsed="false">
      <c r="A624" s="34" t="n">
        <f aca="false">A623+1</f>
        <v>619</v>
      </c>
      <c r="B624" s="35" t="s">
        <v>345</v>
      </c>
      <c r="C624" s="35" t="str">
        <f aca="false">"0002928"</f>
        <v>0002928</v>
      </c>
      <c r="D624" s="37" t="s">
        <v>524</v>
      </c>
      <c r="E624" s="35" t="n">
        <v>2002</v>
      </c>
      <c r="F624" s="38" t="n">
        <v>16010.16</v>
      </c>
      <c r="G624" s="39" t="n">
        <v>1</v>
      </c>
      <c r="H624" s="40" t="n">
        <v>1025</v>
      </c>
    </row>
    <row r="625" s="33" customFormat="true" ht="14.25" hidden="false" customHeight="false" outlineLevel="0" collapsed="false">
      <c r="A625" s="34" t="n">
        <f aca="false">A624+1</f>
        <v>620</v>
      </c>
      <c r="B625" s="35" t="s">
        <v>345</v>
      </c>
      <c r="C625" s="35" t="str">
        <f aca="false">"0002930"</f>
        <v>0002930</v>
      </c>
      <c r="D625" s="37" t="s">
        <v>525</v>
      </c>
      <c r="E625" s="35" t="n">
        <v>2002</v>
      </c>
      <c r="F625" s="38" t="n">
        <v>5680</v>
      </c>
      <c r="G625" s="39" t="n">
        <v>2</v>
      </c>
      <c r="H625" s="40" t="n">
        <v>730</v>
      </c>
    </row>
    <row r="626" s="33" customFormat="true" ht="14.25" hidden="false" customHeight="false" outlineLevel="0" collapsed="false">
      <c r="A626" s="34" t="n">
        <f aca="false">A625+1</f>
        <v>621</v>
      </c>
      <c r="B626" s="35" t="s">
        <v>345</v>
      </c>
      <c r="C626" s="35" t="str">
        <f aca="false">"0002985"</f>
        <v>0002985</v>
      </c>
      <c r="D626" s="37" t="s">
        <v>526</v>
      </c>
      <c r="E626" s="35" t="n">
        <v>2002</v>
      </c>
      <c r="F626" s="38" t="n">
        <v>7453.18</v>
      </c>
      <c r="G626" s="39" t="n">
        <v>1</v>
      </c>
      <c r="H626" s="40" t="n">
        <v>465</v>
      </c>
    </row>
    <row r="627" s="33" customFormat="true" ht="14.25" hidden="false" customHeight="false" outlineLevel="0" collapsed="false">
      <c r="A627" s="34" t="n">
        <f aca="false">A626+1</f>
        <v>622</v>
      </c>
      <c r="B627" s="35" t="s">
        <v>345</v>
      </c>
      <c r="C627" s="35" t="str">
        <f aca="false">"0002991"</f>
        <v>0002991</v>
      </c>
      <c r="D627" s="37" t="s">
        <v>527</v>
      </c>
      <c r="E627" s="35" t="n">
        <v>2002</v>
      </c>
      <c r="F627" s="38" t="n">
        <v>7281</v>
      </c>
      <c r="G627" s="39" t="n">
        <v>1</v>
      </c>
      <c r="H627" s="40" t="n">
        <v>470</v>
      </c>
    </row>
    <row r="628" s="33" customFormat="true" ht="14.25" hidden="false" customHeight="false" outlineLevel="0" collapsed="false">
      <c r="A628" s="34" t="n">
        <f aca="false">A627+1</f>
        <v>623</v>
      </c>
      <c r="B628" s="35" t="s">
        <v>345</v>
      </c>
      <c r="C628" s="35" t="str">
        <f aca="false">"0002992"</f>
        <v>0002992</v>
      </c>
      <c r="D628" s="37" t="s">
        <v>528</v>
      </c>
      <c r="E628" s="35" t="n">
        <v>2002</v>
      </c>
      <c r="F628" s="38" t="n">
        <v>5017</v>
      </c>
      <c r="G628" s="39" t="n">
        <v>1</v>
      </c>
      <c r="H628" s="40" t="n">
        <v>325</v>
      </c>
    </row>
    <row r="629" s="33" customFormat="true" ht="14.25" hidden="false" customHeight="false" outlineLevel="0" collapsed="false">
      <c r="A629" s="34" t="n">
        <f aca="false">A628+1</f>
        <v>624</v>
      </c>
      <c r="B629" s="35" t="s">
        <v>345</v>
      </c>
      <c r="C629" s="35" t="str">
        <f aca="false">"0002993"</f>
        <v>0002993</v>
      </c>
      <c r="D629" s="37" t="s">
        <v>528</v>
      </c>
      <c r="E629" s="35" t="n">
        <v>2002</v>
      </c>
      <c r="F629" s="38" t="n">
        <v>5367</v>
      </c>
      <c r="G629" s="39" t="n">
        <v>1</v>
      </c>
      <c r="H629" s="40" t="n">
        <v>345</v>
      </c>
    </row>
    <row r="630" s="33" customFormat="true" ht="14.25" hidden="false" customHeight="false" outlineLevel="0" collapsed="false">
      <c r="A630" s="34" t="n">
        <f aca="false">A629+1</f>
        <v>625</v>
      </c>
      <c r="B630" s="35" t="s">
        <v>345</v>
      </c>
      <c r="C630" s="35" t="str">
        <f aca="false">"0002995"</f>
        <v>0002995</v>
      </c>
      <c r="D630" s="37" t="s">
        <v>529</v>
      </c>
      <c r="E630" s="35" t="n">
        <v>2002</v>
      </c>
      <c r="F630" s="38" t="n">
        <v>8432.7</v>
      </c>
      <c r="G630" s="39" t="n">
        <v>1</v>
      </c>
      <c r="H630" s="40" t="n">
        <v>540</v>
      </c>
    </row>
    <row r="631" s="33" customFormat="true" ht="14.25" hidden="false" customHeight="false" outlineLevel="0" collapsed="false">
      <c r="A631" s="34" t="n">
        <f aca="false">A630+1</f>
        <v>626</v>
      </c>
      <c r="B631" s="35" t="s">
        <v>345</v>
      </c>
      <c r="C631" s="35" t="str">
        <f aca="false">"0003021"</f>
        <v>0003021</v>
      </c>
      <c r="D631" s="37" t="s">
        <v>530</v>
      </c>
      <c r="E631" s="35" t="n">
        <v>2002</v>
      </c>
      <c r="F631" s="38" t="n">
        <v>10608</v>
      </c>
      <c r="G631" s="39" t="n">
        <v>1</v>
      </c>
      <c r="H631" s="40" t="n">
        <v>680</v>
      </c>
    </row>
    <row r="632" s="33" customFormat="true" ht="14.25" hidden="false" customHeight="false" outlineLevel="0" collapsed="false">
      <c r="A632" s="34" t="n">
        <f aca="false">A631+1</f>
        <v>627</v>
      </c>
      <c r="B632" s="35" t="s">
        <v>345</v>
      </c>
      <c r="C632" s="35" t="str">
        <f aca="false">"0003055"</f>
        <v>0003055</v>
      </c>
      <c r="D632" s="37" t="s">
        <v>531</v>
      </c>
      <c r="E632" s="35" t="n">
        <v>2002</v>
      </c>
      <c r="F632" s="38" t="n">
        <v>2034</v>
      </c>
      <c r="G632" s="39" t="n">
        <v>1</v>
      </c>
      <c r="H632" s="40" t="n">
        <v>130</v>
      </c>
    </row>
    <row r="633" s="33" customFormat="true" ht="14.25" hidden="false" customHeight="false" outlineLevel="0" collapsed="false">
      <c r="A633" s="34" t="n">
        <f aca="false">A632+1</f>
        <v>628</v>
      </c>
      <c r="B633" s="35" t="s">
        <v>345</v>
      </c>
      <c r="C633" s="35" t="str">
        <f aca="false">"0003057"</f>
        <v>0003057</v>
      </c>
      <c r="D633" s="37" t="s">
        <v>532</v>
      </c>
      <c r="E633" s="35" t="n">
        <v>2002</v>
      </c>
      <c r="F633" s="38" t="n">
        <v>44217.53</v>
      </c>
      <c r="G633" s="39" t="n">
        <v>1</v>
      </c>
      <c r="H633" s="40" t="n">
        <v>2830</v>
      </c>
    </row>
    <row r="634" s="33" customFormat="true" ht="14.25" hidden="false" customHeight="false" outlineLevel="0" collapsed="false">
      <c r="A634" s="34" t="n">
        <f aca="false">A633+1</f>
        <v>629</v>
      </c>
      <c r="B634" s="35" t="s">
        <v>345</v>
      </c>
      <c r="C634" s="35" t="str">
        <f aca="false">"0003062"</f>
        <v>0003062</v>
      </c>
      <c r="D634" s="37" t="s">
        <v>533</v>
      </c>
      <c r="E634" s="35" t="n">
        <v>2002</v>
      </c>
      <c r="F634" s="38" t="n">
        <v>1757.1</v>
      </c>
      <c r="G634" s="39" t="n">
        <v>1</v>
      </c>
      <c r="H634" s="40" t="n">
        <v>115</v>
      </c>
    </row>
    <row r="635" s="33" customFormat="true" ht="14.25" hidden="false" customHeight="false" outlineLevel="0" collapsed="false">
      <c r="A635" s="34" t="n">
        <f aca="false">A634+1</f>
        <v>630</v>
      </c>
      <c r="B635" s="35" t="s">
        <v>345</v>
      </c>
      <c r="C635" s="35" t="str">
        <f aca="false">"0003063"</f>
        <v>0003063</v>
      </c>
      <c r="D635" s="37" t="s">
        <v>534</v>
      </c>
      <c r="E635" s="35" t="n">
        <v>2002</v>
      </c>
      <c r="F635" s="38" t="n">
        <v>12327</v>
      </c>
      <c r="G635" s="39" t="n">
        <v>1</v>
      </c>
      <c r="H635" s="40" t="n">
        <v>800</v>
      </c>
    </row>
    <row r="636" s="33" customFormat="true" ht="14.25" hidden="false" customHeight="false" outlineLevel="0" collapsed="false">
      <c r="A636" s="34" t="n">
        <f aca="false">A635+1</f>
        <v>631</v>
      </c>
      <c r="B636" s="35" t="s">
        <v>345</v>
      </c>
      <c r="C636" s="35" t="str">
        <f aca="false">"0003064"</f>
        <v>0003064</v>
      </c>
      <c r="D636" s="37" t="s">
        <v>535</v>
      </c>
      <c r="E636" s="35" t="n">
        <v>2002</v>
      </c>
      <c r="F636" s="38" t="n">
        <v>2065</v>
      </c>
      <c r="G636" s="39" t="n">
        <v>1</v>
      </c>
      <c r="H636" s="40" t="n">
        <v>135</v>
      </c>
    </row>
    <row r="637" s="33" customFormat="true" ht="14.25" hidden="false" customHeight="false" outlineLevel="0" collapsed="false">
      <c r="A637" s="34" t="n">
        <f aca="false">A636+1</f>
        <v>632</v>
      </c>
      <c r="B637" s="35" t="s">
        <v>345</v>
      </c>
      <c r="C637" s="35" t="str">
        <f aca="false">"0003065"</f>
        <v>0003065</v>
      </c>
      <c r="D637" s="37" t="s">
        <v>536</v>
      </c>
      <c r="E637" s="35" t="n">
        <v>2002</v>
      </c>
      <c r="F637" s="38" t="n">
        <v>9208.2</v>
      </c>
      <c r="G637" s="39" t="n">
        <v>1</v>
      </c>
      <c r="H637" s="40" t="n">
        <v>580</v>
      </c>
    </row>
    <row r="638" s="33" customFormat="true" ht="14.25" hidden="false" customHeight="false" outlineLevel="0" collapsed="false">
      <c r="A638" s="34" t="n">
        <f aca="false">A637+1</f>
        <v>633</v>
      </c>
      <c r="B638" s="35" t="s">
        <v>345</v>
      </c>
      <c r="C638" s="35" t="str">
        <f aca="false">"0003071"</f>
        <v>0003071</v>
      </c>
      <c r="D638" s="37" t="s">
        <v>537</v>
      </c>
      <c r="E638" s="35" t="n">
        <v>2002</v>
      </c>
      <c r="F638" s="38" t="n">
        <v>1369.2</v>
      </c>
      <c r="G638" s="39" t="n">
        <v>1</v>
      </c>
      <c r="H638" s="40" t="n">
        <v>90</v>
      </c>
    </row>
    <row r="639" s="33" customFormat="true" ht="14.25" hidden="false" customHeight="false" outlineLevel="0" collapsed="false">
      <c r="A639" s="34" t="n">
        <f aca="false">A638+1</f>
        <v>634</v>
      </c>
      <c r="B639" s="35" t="s">
        <v>345</v>
      </c>
      <c r="C639" s="35" t="str">
        <f aca="false">"0003072"</f>
        <v>0003072</v>
      </c>
      <c r="D639" s="37" t="s">
        <v>538</v>
      </c>
      <c r="E639" s="35" t="n">
        <v>2002</v>
      </c>
      <c r="F639" s="38" t="n">
        <v>1825</v>
      </c>
      <c r="G639" s="39" t="n">
        <v>2</v>
      </c>
      <c r="H639" s="40" t="n">
        <v>240</v>
      </c>
    </row>
    <row r="640" s="33" customFormat="true" ht="14.25" hidden="false" customHeight="false" outlineLevel="0" collapsed="false">
      <c r="A640" s="34" t="n">
        <f aca="false">A639+1</f>
        <v>635</v>
      </c>
      <c r="B640" s="35" t="s">
        <v>345</v>
      </c>
      <c r="C640" s="35" t="str">
        <f aca="false">"0003075"</f>
        <v>0003075</v>
      </c>
      <c r="D640" s="37" t="s">
        <v>539</v>
      </c>
      <c r="E640" s="35" t="n">
        <v>2002</v>
      </c>
      <c r="F640" s="38" t="n">
        <v>10832</v>
      </c>
      <c r="G640" s="39" t="n">
        <v>1</v>
      </c>
      <c r="H640" s="40" t="n">
        <v>700</v>
      </c>
    </row>
    <row r="641" s="33" customFormat="true" ht="14.25" hidden="false" customHeight="false" outlineLevel="0" collapsed="false">
      <c r="A641" s="34" t="n">
        <f aca="false">A640+1</f>
        <v>636</v>
      </c>
      <c r="B641" s="35" t="s">
        <v>345</v>
      </c>
      <c r="C641" s="35" t="str">
        <f aca="false">"0003077"</f>
        <v>0003077</v>
      </c>
      <c r="D641" s="37" t="s">
        <v>540</v>
      </c>
      <c r="E641" s="35" t="n">
        <v>2002</v>
      </c>
      <c r="F641" s="38" t="n">
        <f aca="false">73274.42</f>
        <v>73274.42</v>
      </c>
      <c r="G641" s="39" t="n">
        <v>1</v>
      </c>
      <c r="H641" s="40" t="n">
        <v>6800</v>
      </c>
    </row>
    <row r="642" s="33" customFormat="true" ht="14.25" hidden="false" customHeight="false" outlineLevel="0" collapsed="false">
      <c r="A642" s="34" t="n">
        <f aca="false">A641+1</f>
        <v>637</v>
      </c>
      <c r="B642" s="35" t="s">
        <v>345</v>
      </c>
      <c r="C642" s="35" t="str">
        <f aca="false">"0003087"</f>
        <v>0003087</v>
      </c>
      <c r="D642" s="37" t="s">
        <v>541</v>
      </c>
      <c r="E642" s="35" t="n">
        <v>2002</v>
      </c>
      <c r="F642" s="38" t="n">
        <v>26400</v>
      </c>
      <c r="G642" s="39" t="n">
        <v>1</v>
      </c>
      <c r="H642" s="40" t="n">
        <v>1690</v>
      </c>
    </row>
    <row r="643" s="33" customFormat="true" ht="14.25" hidden="false" customHeight="false" outlineLevel="0" collapsed="false">
      <c r="A643" s="34" t="n">
        <f aca="false">A642+1</f>
        <v>638</v>
      </c>
      <c r="B643" s="35" t="s">
        <v>345</v>
      </c>
      <c r="C643" s="35" t="str">
        <f aca="false">"0003092"</f>
        <v>0003092</v>
      </c>
      <c r="D643" s="37" t="s">
        <v>542</v>
      </c>
      <c r="E643" s="35" t="n">
        <v>2002</v>
      </c>
      <c r="F643" s="38" t="n">
        <v>9305</v>
      </c>
      <c r="G643" s="39" t="n">
        <v>1</v>
      </c>
      <c r="H643" s="40" t="n">
        <v>600</v>
      </c>
    </row>
    <row r="644" s="33" customFormat="true" ht="14.25" hidden="false" customHeight="false" outlineLevel="0" collapsed="false">
      <c r="A644" s="34" t="n">
        <f aca="false">A643+1</f>
        <v>639</v>
      </c>
      <c r="B644" s="35" t="s">
        <v>345</v>
      </c>
      <c r="C644" s="35" t="str">
        <f aca="false">"0003094"</f>
        <v>0003094</v>
      </c>
      <c r="D644" s="37" t="s">
        <v>543</v>
      </c>
      <c r="E644" s="35" t="n">
        <v>2002</v>
      </c>
      <c r="F644" s="38" t="n">
        <v>15535</v>
      </c>
      <c r="G644" s="39" t="n">
        <v>1</v>
      </c>
      <c r="H644" s="40" t="n">
        <v>1000</v>
      </c>
    </row>
    <row r="645" s="33" customFormat="true" ht="14.25" hidden="false" customHeight="false" outlineLevel="0" collapsed="false">
      <c r="A645" s="34" t="n">
        <f aca="false">A644+1</f>
        <v>640</v>
      </c>
      <c r="B645" s="35" t="s">
        <v>345</v>
      </c>
      <c r="C645" s="35" t="str">
        <f aca="false">"0003097"</f>
        <v>0003097</v>
      </c>
      <c r="D645" s="37" t="s">
        <v>544</v>
      </c>
      <c r="E645" s="35" t="n">
        <v>2002</v>
      </c>
      <c r="F645" s="38" t="n">
        <v>1187.62</v>
      </c>
      <c r="G645" s="39" t="n">
        <v>1</v>
      </c>
      <c r="H645" s="40" t="n">
        <v>80</v>
      </c>
    </row>
    <row r="646" s="33" customFormat="true" ht="14.25" hidden="false" customHeight="false" outlineLevel="0" collapsed="false">
      <c r="A646" s="34" t="n">
        <f aca="false">A645+1</f>
        <v>641</v>
      </c>
      <c r="B646" s="35" t="s">
        <v>345</v>
      </c>
      <c r="C646" s="35" t="str">
        <f aca="false">"0003098"</f>
        <v>0003098</v>
      </c>
      <c r="D646" s="37" t="s">
        <v>545</v>
      </c>
      <c r="E646" s="35" t="n">
        <v>2002</v>
      </c>
      <c r="F646" s="38" t="n">
        <v>3510.4</v>
      </c>
      <c r="G646" s="39" t="n">
        <v>1</v>
      </c>
      <c r="H646" s="40" t="n">
        <v>225</v>
      </c>
    </row>
    <row r="647" s="33" customFormat="true" ht="14.25" hidden="false" customHeight="false" outlineLevel="0" collapsed="false">
      <c r="A647" s="34" t="n">
        <f aca="false">A646+1</f>
        <v>642</v>
      </c>
      <c r="B647" s="35" t="s">
        <v>345</v>
      </c>
      <c r="C647" s="35" t="str">
        <f aca="false">"0003101"</f>
        <v>0003101</v>
      </c>
      <c r="D647" s="37" t="s">
        <v>546</v>
      </c>
      <c r="E647" s="35" t="n">
        <v>2002</v>
      </c>
      <c r="F647" s="38" t="n">
        <v>5177.44</v>
      </c>
      <c r="G647" s="39" t="n">
        <v>1</v>
      </c>
      <c r="H647" s="40" t="n">
        <v>330</v>
      </c>
    </row>
    <row r="648" s="33" customFormat="true" ht="14.25" hidden="false" customHeight="false" outlineLevel="0" collapsed="false">
      <c r="A648" s="34" t="n">
        <f aca="false">A647+1</f>
        <v>643</v>
      </c>
      <c r="B648" s="35" t="s">
        <v>345</v>
      </c>
      <c r="C648" s="35" t="str">
        <f aca="false">"0003116"</f>
        <v>0003116</v>
      </c>
      <c r="D648" s="37" t="s">
        <v>547</v>
      </c>
      <c r="E648" s="35" t="n">
        <v>2002</v>
      </c>
      <c r="F648" s="38" t="n">
        <v>9771.42</v>
      </c>
      <c r="G648" s="39" t="n">
        <v>1</v>
      </c>
      <c r="H648" s="40" t="n">
        <v>625</v>
      </c>
    </row>
    <row r="649" s="33" customFormat="true" ht="14.25" hidden="false" customHeight="false" outlineLevel="0" collapsed="false">
      <c r="A649" s="34" t="n">
        <f aca="false">A648+1</f>
        <v>644</v>
      </c>
      <c r="B649" s="35" t="s">
        <v>345</v>
      </c>
      <c r="C649" s="35" t="str">
        <f aca="false">"0003121"</f>
        <v>0003121</v>
      </c>
      <c r="D649" s="37" t="s">
        <v>548</v>
      </c>
      <c r="E649" s="35" t="n">
        <v>2002</v>
      </c>
      <c r="F649" s="38" t="n">
        <v>2024.6</v>
      </c>
      <c r="G649" s="39" t="n">
        <v>1</v>
      </c>
      <c r="H649" s="40" t="n">
        <v>130</v>
      </c>
    </row>
    <row r="650" s="33" customFormat="true" ht="14.25" hidden="false" customHeight="false" outlineLevel="0" collapsed="false">
      <c r="A650" s="34" t="n">
        <f aca="false">A649+1</f>
        <v>645</v>
      </c>
      <c r="B650" s="35" t="s">
        <v>345</v>
      </c>
      <c r="C650" s="35" t="str">
        <f aca="false">"0003122"</f>
        <v>0003122</v>
      </c>
      <c r="D650" s="37" t="s">
        <v>549</v>
      </c>
      <c r="E650" s="35" t="n">
        <v>2002</v>
      </c>
      <c r="F650" s="38" t="n">
        <v>1773</v>
      </c>
      <c r="G650" s="39" t="n">
        <v>1</v>
      </c>
      <c r="H650" s="40" t="n">
        <v>115</v>
      </c>
    </row>
    <row r="651" s="33" customFormat="true" ht="14.25" hidden="false" customHeight="false" outlineLevel="0" collapsed="false">
      <c r="A651" s="34" t="n">
        <f aca="false">A650+1</f>
        <v>646</v>
      </c>
      <c r="B651" s="35" t="s">
        <v>345</v>
      </c>
      <c r="C651" s="35" t="str">
        <f aca="false">"0003123"</f>
        <v>0003123</v>
      </c>
      <c r="D651" s="37" t="s">
        <v>550</v>
      </c>
      <c r="E651" s="35" t="n">
        <v>2002</v>
      </c>
      <c r="F651" s="38" t="n">
        <v>3182</v>
      </c>
      <c r="G651" s="39" t="n">
        <v>1</v>
      </c>
      <c r="H651" s="40" t="n">
        <v>200</v>
      </c>
    </row>
    <row r="652" s="33" customFormat="true" ht="14.25" hidden="false" customHeight="false" outlineLevel="0" collapsed="false">
      <c r="A652" s="34" t="n">
        <f aca="false">A651+1</f>
        <v>647</v>
      </c>
      <c r="B652" s="35" t="s">
        <v>345</v>
      </c>
      <c r="C652" s="35" t="str">
        <f aca="false">"0003124"</f>
        <v>0003124</v>
      </c>
      <c r="D652" s="37" t="s">
        <v>551</v>
      </c>
      <c r="E652" s="35" t="n">
        <v>2002</v>
      </c>
      <c r="F652" s="38" t="n">
        <v>3430.6</v>
      </c>
      <c r="G652" s="39" t="n">
        <v>1</v>
      </c>
      <c r="H652" s="40" t="n">
        <v>220</v>
      </c>
    </row>
    <row r="653" s="33" customFormat="true" ht="14.25" hidden="false" customHeight="false" outlineLevel="0" collapsed="false">
      <c r="A653" s="34" t="n">
        <f aca="false">A652+1</f>
        <v>648</v>
      </c>
      <c r="B653" s="35" t="s">
        <v>345</v>
      </c>
      <c r="C653" s="35" t="str">
        <f aca="false">"0003125"</f>
        <v>0003125</v>
      </c>
      <c r="D653" s="37" t="s">
        <v>552</v>
      </c>
      <c r="E653" s="35" t="n">
        <v>2002</v>
      </c>
      <c r="F653" s="38" t="n">
        <v>2527.8</v>
      </c>
      <c r="G653" s="39" t="n">
        <v>1</v>
      </c>
      <c r="H653" s="40" t="n">
        <v>160</v>
      </c>
    </row>
    <row r="654" s="33" customFormat="true" ht="14.25" hidden="false" customHeight="false" outlineLevel="0" collapsed="false">
      <c r="A654" s="34" t="n">
        <f aca="false">A653+1</f>
        <v>649</v>
      </c>
      <c r="B654" s="35" t="s">
        <v>345</v>
      </c>
      <c r="C654" s="35" t="str">
        <f aca="false">"0003127"</f>
        <v>0003127</v>
      </c>
      <c r="D654" s="37" t="s">
        <v>553</v>
      </c>
      <c r="E654" s="35" t="n">
        <v>2002</v>
      </c>
      <c r="F654" s="38" t="n">
        <v>7485.73</v>
      </c>
      <c r="G654" s="39" t="n">
        <v>2</v>
      </c>
      <c r="H654" s="40" t="n">
        <v>960</v>
      </c>
    </row>
    <row r="655" s="33" customFormat="true" ht="14.25" hidden="false" customHeight="false" outlineLevel="0" collapsed="false">
      <c r="A655" s="34" t="n">
        <f aca="false">A654+1</f>
        <v>650</v>
      </c>
      <c r="B655" s="35" t="s">
        <v>345</v>
      </c>
      <c r="C655" s="35" t="str">
        <f aca="false">"0003172"</f>
        <v>0003172</v>
      </c>
      <c r="D655" s="37" t="s">
        <v>554</v>
      </c>
      <c r="E655" s="35" t="n">
        <v>2003</v>
      </c>
      <c r="F655" s="38" t="n">
        <f aca="false">2801.6*1.1</f>
        <v>3081.76</v>
      </c>
      <c r="G655" s="39" t="n">
        <v>10</v>
      </c>
      <c r="H655" s="40" t="n">
        <v>3200</v>
      </c>
    </row>
    <row r="656" s="33" customFormat="true" ht="14.25" hidden="false" customHeight="false" outlineLevel="0" collapsed="false">
      <c r="A656" s="34" t="n">
        <f aca="false">A655+1</f>
        <v>651</v>
      </c>
      <c r="B656" s="35" t="s">
        <v>345</v>
      </c>
      <c r="C656" s="35" t="str">
        <f aca="false">"0003183"</f>
        <v>0003183</v>
      </c>
      <c r="D656" s="37" t="s">
        <v>555</v>
      </c>
      <c r="E656" s="35" t="n">
        <v>2003</v>
      </c>
      <c r="F656" s="38" t="n">
        <v>31545</v>
      </c>
      <c r="G656" s="39" t="n">
        <v>1</v>
      </c>
      <c r="H656" s="40" t="n">
        <v>2330</v>
      </c>
    </row>
    <row r="657" s="33" customFormat="true" ht="14.25" hidden="false" customHeight="false" outlineLevel="0" collapsed="false">
      <c r="A657" s="34" t="n">
        <f aca="false">A656+1</f>
        <v>652</v>
      </c>
      <c r="B657" s="35" t="s">
        <v>345</v>
      </c>
      <c r="C657" s="35" t="str">
        <f aca="false">"0003189"</f>
        <v>0003189</v>
      </c>
      <c r="D657" s="37" t="s">
        <v>556</v>
      </c>
      <c r="E657" s="35" t="n">
        <v>1987</v>
      </c>
      <c r="F657" s="38" t="n">
        <f aca="false">170977.39*1.2</f>
        <v>205172.868</v>
      </c>
      <c r="G657" s="39" t="n">
        <v>1</v>
      </c>
      <c r="H657" s="40" t="n">
        <v>10770</v>
      </c>
    </row>
    <row r="658" s="33" customFormat="true" ht="14.25" hidden="false" customHeight="false" outlineLevel="0" collapsed="false">
      <c r="A658" s="34" t="n">
        <f aca="false">A657+1</f>
        <v>653</v>
      </c>
      <c r="B658" s="35" t="s">
        <v>345</v>
      </c>
      <c r="C658" s="35" t="str">
        <f aca="false">"0003197"</f>
        <v>0003197</v>
      </c>
      <c r="D658" s="37" t="s">
        <v>557</v>
      </c>
      <c r="E658" s="35" t="n">
        <v>2003</v>
      </c>
      <c r="F658" s="38" t="n">
        <v>3750</v>
      </c>
      <c r="G658" s="39" t="n">
        <v>2</v>
      </c>
      <c r="H658" s="40" t="n">
        <v>560</v>
      </c>
    </row>
    <row r="659" s="33" customFormat="true" ht="14.25" hidden="false" customHeight="false" outlineLevel="0" collapsed="false">
      <c r="A659" s="34" t="n">
        <f aca="false">A658+1</f>
        <v>654</v>
      </c>
      <c r="B659" s="35" t="s">
        <v>345</v>
      </c>
      <c r="C659" s="35" t="str">
        <f aca="false">"0003199"</f>
        <v>0003199</v>
      </c>
      <c r="D659" s="37" t="s">
        <v>558</v>
      </c>
      <c r="E659" s="35" t="n">
        <v>2003</v>
      </c>
      <c r="F659" s="38" t="n">
        <v>11853.47</v>
      </c>
      <c r="G659" s="39" t="n">
        <v>1</v>
      </c>
      <c r="H659" s="40" t="n">
        <v>870</v>
      </c>
    </row>
    <row r="660" s="33" customFormat="true" ht="14.25" hidden="false" customHeight="false" outlineLevel="0" collapsed="false">
      <c r="A660" s="34" t="n">
        <f aca="false">A659+1</f>
        <v>655</v>
      </c>
      <c r="B660" s="35" t="s">
        <v>345</v>
      </c>
      <c r="C660" s="35" t="str">
        <f aca="false">"0003200"</f>
        <v>0003200</v>
      </c>
      <c r="D660" s="37" t="s">
        <v>559</v>
      </c>
      <c r="E660" s="35" t="n">
        <v>2003</v>
      </c>
      <c r="F660" s="38" t="n">
        <v>1280.69</v>
      </c>
      <c r="G660" s="39" t="n">
        <v>3</v>
      </c>
      <c r="H660" s="40" t="n">
        <v>285</v>
      </c>
    </row>
    <row r="661" s="33" customFormat="true" ht="14.25" hidden="false" customHeight="false" outlineLevel="0" collapsed="false">
      <c r="A661" s="34" t="n">
        <f aca="false">A660+1</f>
        <v>656</v>
      </c>
      <c r="B661" s="35" t="s">
        <v>345</v>
      </c>
      <c r="C661" s="35" t="str">
        <f aca="false">"0003203"</f>
        <v>0003203</v>
      </c>
      <c r="D661" s="37" t="s">
        <v>559</v>
      </c>
      <c r="E661" s="35" t="n">
        <v>2003</v>
      </c>
      <c r="F661" s="38" t="n">
        <v>1443.81</v>
      </c>
      <c r="G661" s="39" t="n">
        <v>6</v>
      </c>
      <c r="H661" s="40" t="n">
        <v>630</v>
      </c>
    </row>
    <row r="662" s="33" customFormat="true" ht="14.25" hidden="false" customHeight="false" outlineLevel="0" collapsed="false">
      <c r="A662" s="34" t="n">
        <f aca="false">A661+1</f>
        <v>657</v>
      </c>
      <c r="B662" s="35" t="s">
        <v>345</v>
      </c>
      <c r="C662" s="35" t="str">
        <f aca="false">"0003210"</f>
        <v>0003210</v>
      </c>
      <c r="D662" s="37" t="s">
        <v>559</v>
      </c>
      <c r="E662" s="35" t="n">
        <v>2003</v>
      </c>
      <c r="F662" s="38" t="n">
        <v>1488.86</v>
      </c>
      <c r="G662" s="39" t="n">
        <v>5</v>
      </c>
      <c r="H662" s="40" t="n">
        <v>550</v>
      </c>
    </row>
    <row r="663" s="33" customFormat="true" ht="14.25" hidden="false" customHeight="false" outlineLevel="0" collapsed="false">
      <c r="A663" s="34" t="n">
        <f aca="false">A662+1</f>
        <v>658</v>
      </c>
      <c r="B663" s="35" t="s">
        <v>345</v>
      </c>
      <c r="C663" s="35" t="str">
        <f aca="false">"0003215"</f>
        <v>0003215</v>
      </c>
      <c r="D663" s="37" t="s">
        <v>559</v>
      </c>
      <c r="E663" s="35" t="n">
        <v>2003</v>
      </c>
      <c r="F663" s="38" t="n">
        <v>1458.26</v>
      </c>
      <c r="G663" s="39" t="n">
        <v>4</v>
      </c>
      <c r="H663" s="40" t="n">
        <v>440</v>
      </c>
    </row>
    <row r="664" s="33" customFormat="true" ht="14.25" hidden="false" customHeight="false" outlineLevel="0" collapsed="false">
      <c r="A664" s="34" t="n">
        <f aca="false">A663+1</f>
        <v>659</v>
      </c>
      <c r="B664" s="35" t="s">
        <v>345</v>
      </c>
      <c r="C664" s="35" t="str">
        <f aca="false">"0003219"</f>
        <v>0003219</v>
      </c>
      <c r="D664" s="37" t="s">
        <v>559</v>
      </c>
      <c r="E664" s="35" t="n">
        <v>2003</v>
      </c>
      <c r="F664" s="38" t="n">
        <v>1527.02</v>
      </c>
      <c r="G664" s="39" t="n">
        <v>9</v>
      </c>
      <c r="H664" s="40" t="n">
        <v>1035</v>
      </c>
    </row>
    <row r="665" s="33" customFormat="true" ht="14.25" hidden="false" customHeight="false" outlineLevel="0" collapsed="false">
      <c r="A665" s="34" t="n">
        <f aca="false">A664+1</f>
        <v>660</v>
      </c>
      <c r="B665" s="35" t="s">
        <v>345</v>
      </c>
      <c r="C665" s="35" t="str">
        <f aca="false">"0003231"</f>
        <v>0003231</v>
      </c>
      <c r="D665" s="37" t="s">
        <v>559</v>
      </c>
      <c r="E665" s="35" t="n">
        <v>2003</v>
      </c>
      <c r="F665" s="38" t="n">
        <v>1625.71</v>
      </c>
      <c r="G665" s="39" t="n">
        <v>6</v>
      </c>
      <c r="H665" s="40" t="n">
        <v>720</v>
      </c>
    </row>
    <row r="666" s="33" customFormat="true" ht="14.25" hidden="false" customHeight="false" outlineLevel="0" collapsed="false">
      <c r="A666" s="34" t="n">
        <f aca="false">A665+1</f>
        <v>661</v>
      </c>
      <c r="B666" s="35" t="s">
        <v>345</v>
      </c>
      <c r="C666" s="35" t="str">
        <f aca="false">"0003237"</f>
        <v>0003237</v>
      </c>
      <c r="D666" s="37" t="s">
        <v>559</v>
      </c>
      <c r="E666" s="35" t="n">
        <v>2003</v>
      </c>
      <c r="F666" s="38" t="n">
        <v>1756.27</v>
      </c>
      <c r="G666" s="39" t="n">
        <v>4</v>
      </c>
      <c r="H666" s="40" t="n">
        <v>520</v>
      </c>
    </row>
    <row r="667" s="33" customFormat="true" ht="14.25" hidden="false" customHeight="false" outlineLevel="0" collapsed="false">
      <c r="A667" s="34" t="n">
        <f aca="false">A666+1</f>
        <v>662</v>
      </c>
      <c r="B667" s="35" t="s">
        <v>345</v>
      </c>
      <c r="C667" s="35" t="str">
        <f aca="false">"0003241"</f>
        <v>0003241</v>
      </c>
      <c r="D667" s="37" t="s">
        <v>559</v>
      </c>
      <c r="E667" s="35" t="n">
        <v>2003</v>
      </c>
      <c r="F667" s="38" t="n">
        <v>1731.53</v>
      </c>
      <c r="G667" s="39" t="n">
        <v>4</v>
      </c>
      <c r="H667" s="40" t="n">
        <v>520</v>
      </c>
    </row>
    <row r="668" s="33" customFormat="true" ht="14.25" hidden="false" customHeight="false" outlineLevel="0" collapsed="false">
      <c r="A668" s="34" t="n">
        <f aca="false">A667+1</f>
        <v>663</v>
      </c>
      <c r="B668" s="35" t="s">
        <v>345</v>
      </c>
      <c r="C668" s="35" t="str">
        <f aca="false">"0003252"</f>
        <v>0003252</v>
      </c>
      <c r="D668" s="37" t="s">
        <v>560</v>
      </c>
      <c r="E668" s="35" t="n">
        <v>2003</v>
      </c>
      <c r="F668" s="38" t="n">
        <v>1802.46</v>
      </c>
      <c r="G668" s="39" t="n">
        <v>3</v>
      </c>
      <c r="H668" s="40" t="n">
        <v>345</v>
      </c>
    </row>
    <row r="669" s="33" customFormat="true" ht="14.25" hidden="false" customHeight="false" outlineLevel="0" collapsed="false">
      <c r="A669" s="34" t="n">
        <f aca="false">A668+1</f>
        <v>664</v>
      </c>
      <c r="B669" s="35" t="s">
        <v>345</v>
      </c>
      <c r="C669" s="35" t="str">
        <f aca="false">"0003255"</f>
        <v>0003255</v>
      </c>
      <c r="D669" s="37" t="s">
        <v>561</v>
      </c>
      <c r="E669" s="35" t="n">
        <v>2003</v>
      </c>
      <c r="F669" s="38" t="n">
        <v>18588</v>
      </c>
      <c r="G669" s="39" t="n">
        <v>1</v>
      </c>
      <c r="H669" s="40" t="n">
        <v>1370</v>
      </c>
    </row>
    <row r="670" s="33" customFormat="true" ht="14.25" hidden="false" customHeight="false" outlineLevel="0" collapsed="false">
      <c r="A670" s="34" t="n">
        <f aca="false">A669+1</f>
        <v>665</v>
      </c>
      <c r="B670" s="35" t="s">
        <v>345</v>
      </c>
      <c r="C670" s="35" t="str">
        <f aca="false">"0003259"</f>
        <v>0003259</v>
      </c>
      <c r="D670" s="37" t="s">
        <v>562</v>
      </c>
      <c r="E670" s="35" t="n">
        <v>2003</v>
      </c>
      <c r="F670" s="38" t="n">
        <v>11406.01</v>
      </c>
      <c r="G670" s="39" t="n">
        <v>1</v>
      </c>
      <c r="H670" s="40" t="n">
        <v>840</v>
      </c>
    </row>
    <row r="671" s="33" customFormat="true" ht="14.25" hidden="false" customHeight="false" outlineLevel="0" collapsed="false">
      <c r="A671" s="34" t="n">
        <f aca="false">A670+1</f>
        <v>666</v>
      </c>
      <c r="B671" s="35" t="s">
        <v>345</v>
      </c>
      <c r="C671" s="35" t="str">
        <f aca="false">"0003260"</f>
        <v>0003260</v>
      </c>
      <c r="D671" s="37" t="s">
        <v>563</v>
      </c>
      <c r="E671" s="35" t="n">
        <v>2003</v>
      </c>
      <c r="F671" s="38" t="n">
        <v>1031.1</v>
      </c>
      <c r="G671" s="39" t="n">
        <v>1</v>
      </c>
      <c r="H671" s="40" t="n">
        <v>75</v>
      </c>
    </row>
    <row r="672" s="33" customFormat="true" ht="14.25" hidden="false" customHeight="false" outlineLevel="0" collapsed="false">
      <c r="A672" s="34" t="n">
        <f aca="false">A671+1</f>
        <v>667</v>
      </c>
      <c r="B672" s="35" t="s">
        <v>345</v>
      </c>
      <c r="C672" s="35" t="str">
        <f aca="false">"0003261"</f>
        <v>0003261</v>
      </c>
      <c r="D672" s="37" t="s">
        <v>564</v>
      </c>
      <c r="E672" s="35" t="n">
        <v>2003</v>
      </c>
      <c r="F672" s="38" t="n">
        <v>1107</v>
      </c>
      <c r="G672" s="39" t="n">
        <v>1</v>
      </c>
      <c r="H672" s="40" t="n">
        <v>80</v>
      </c>
    </row>
    <row r="673" s="33" customFormat="true" ht="14.25" hidden="false" customHeight="false" outlineLevel="0" collapsed="false">
      <c r="A673" s="34" t="n">
        <f aca="false">A672+1</f>
        <v>668</v>
      </c>
      <c r="B673" s="35" t="s">
        <v>345</v>
      </c>
      <c r="C673" s="35" t="str">
        <f aca="false">"0003262"</f>
        <v>0003262</v>
      </c>
      <c r="D673" s="37" t="s">
        <v>565</v>
      </c>
      <c r="E673" s="35" t="n">
        <v>2003</v>
      </c>
      <c r="F673" s="38" t="n">
        <v>1107</v>
      </c>
      <c r="G673" s="39" t="n">
        <v>2</v>
      </c>
      <c r="H673" s="40" t="n">
        <v>160</v>
      </c>
    </row>
    <row r="674" s="33" customFormat="true" ht="14.25" hidden="false" customHeight="false" outlineLevel="0" collapsed="false">
      <c r="A674" s="34" t="n">
        <f aca="false">A673+1</f>
        <v>669</v>
      </c>
      <c r="B674" s="35" t="s">
        <v>345</v>
      </c>
      <c r="C674" s="35" t="str">
        <f aca="false">"0003264"</f>
        <v>0003264</v>
      </c>
      <c r="D674" s="37" t="s">
        <v>566</v>
      </c>
      <c r="E674" s="35" t="n">
        <v>2003</v>
      </c>
      <c r="F674" s="38" t="n">
        <v>1107</v>
      </c>
      <c r="G674" s="39" t="n">
        <v>2</v>
      </c>
      <c r="H674" s="40" t="n">
        <v>160</v>
      </c>
    </row>
    <row r="675" s="33" customFormat="true" ht="14.25" hidden="false" customHeight="false" outlineLevel="0" collapsed="false">
      <c r="A675" s="34" t="n">
        <f aca="false">A674+1</f>
        <v>670</v>
      </c>
      <c r="B675" s="35" t="s">
        <v>345</v>
      </c>
      <c r="C675" s="35" t="str">
        <f aca="false">"0003266"</f>
        <v>0003266</v>
      </c>
      <c r="D675" s="37" t="s">
        <v>567</v>
      </c>
      <c r="E675" s="35" t="n">
        <v>2003</v>
      </c>
      <c r="F675" s="38" t="n">
        <v>14620</v>
      </c>
      <c r="G675" s="39" t="n">
        <v>1</v>
      </c>
      <c r="H675" s="40" t="n">
        <v>930</v>
      </c>
    </row>
    <row r="676" s="33" customFormat="true" ht="14.25" hidden="false" customHeight="false" outlineLevel="0" collapsed="false">
      <c r="A676" s="34" t="n">
        <f aca="false">A675+1</f>
        <v>671</v>
      </c>
      <c r="B676" s="35" t="s">
        <v>345</v>
      </c>
      <c r="C676" s="35" t="str">
        <f aca="false">"0003355"</f>
        <v>0003355</v>
      </c>
      <c r="D676" s="37" t="s">
        <v>568</v>
      </c>
      <c r="E676" s="35" t="n">
        <v>2003</v>
      </c>
      <c r="F676" s="38" t="n">
        <v>8210</v>
      </c>
      <c r="G676" s="39" t="n">
        <v>1</v>
      </c>
      <c r="H676" s="40" t="n">
        <v>605</v>
      </c>
    </row>
    <row r="677" s="33" customFormat="true" ht="14.25" hidden="false" customHeight="false" outlineLevel="0" collapsed="false">
      <c r="A677" s="34" t="n">
        <f aca="false">A676+1</f>
        <v>672</v>
      </c>
      <c r="B677" s="35" t="s">
        <v>345</v>
      </c>
      <c r="C677" s="35" t="str">
        <f aca="false">"0003356"</f>
        <v>0003356</v>
      </c>
      <c r="D677" s="37" t="s">
        <v>569</v>
      </c>
      <c r="E677" s="35" t="n">
        <v>2003</v>
      </c>
      <c r="F677" s="38" t="n">
        <v>1731.53</v>
      </c>
      <c r="G677" s="39" t="n">
        <v>2</v>
      </c>
      <c r="H677" s="40" t="n">
        <v>260</v>
      </c>
    </row>
    <row r="678" s="33" customFormat="true" ht="14.25" hidden="false" customHeight="false" outlineLevel="0" collapsed="false">
      <c r="A678" s="34" t="n">
        <f aca="false">A677+1</f>
        <v>673</v>
      </c>
      <c r="B678" s="35" t="s">
        <v>345</v>
      </c>
      <c r="C678" s="35" t="str">
        <f aca="false">"0003358"</f>
        <v>0003358</v>
      </c>
      <c r="D678" s="37" t="s">
        <v>570</v>
      </c>
      <c r="E678" s="35" t="n">
        <v>2003</v>
      </c>
      <c r="F678" s="38" t="n">
        <v>4623.2</v>
      </c>
      <c r="G678" s="39" t="n">
        <v>6</v>
      </c>
      <c r="H678" s="40" t="n">
        <v>2040</v>
      </c>
    </row>
    <row r="679" s="33" customFormat="true" ht="14.25" hidden="false" customHeight="false" outlineLevel="0" collapsed="false">
      <c r="A679" s="34" t="n">
        <f aca="false">A678+1</f>
        <v>674</v>
      </c>
      <c r="B679" s="35" t="s">
        <v>345</v>
      </c>
      <c r="C679" s="35" t="str">
        <f aca="false">"0003364"</f>
        <v>0003364</v>
      </c>
      <c r="D679" s="37" t="s">
        <v>571</v>
      </c>
      <c r="E679" s="35" t="n">
        <v>2003</v>
      </c>
      <c r="F679" s="38" t="n">
        <v>5879.2</v>
      </c>
      <c r="G679" s="39" t="n">
        <v>2</v>
      </c>
      <c r="H679" s="40" t="n">
        <v>870</v>
      </c>
    </row>
    <row r="680" s="33" customFormat="true" ht="14.25" hidden="false" customHeight="false" outlineLevel="0" collapsed="false">
      <c r="A680" s="34" t="n">
        <f aca="false">A679+1</f>
        <v>675</v>
      </c>
      <c r="B680" s="35" t="s">
        <v>345</v>
      </c>
      <c r="C680" s="35" t="str">
        <f aca="false">"0003366"</f>
        <v>0003366</v>
      </c>
      <c r="D680" s="37" t="s">
        <v>571</v>
      </c>
      <c r="E680" s="35" t="n">
        <v>2003</v>
      </c>
      <c r="F680" s="38" t="n">
        <v>6102.4</v>
      </c>
      <c r="G680" s="39" t="n">
        <v>2</v>
      </c>
      <c r="H680" s="40" t="n">
        <v>900</v>
      </c>
    </row>
    <row r="681" s="33" customFormat="true" ht="14.25" hidden="false" customHeight="false" outlineLevel="0" collapsed="false">
      <c r="A681" s="34" t="n">
        <f aca="false">A680+1</f>
        <v>676</v>
      </c>
      <c r="B681" s="35" t="s">
        <v>345</v>
      </c>
      <c r="C681" s="35" t="str">
        <f aca="false">"0003368"</f>
        <v>0003368</v>
      </c>
      <c r="D681" s="37" t="s">
        <v>572</v>
      </c>
      <c r="E681" s="35" t="n">
        <v>2003</v>
      </c>
      <c r="F681" s="38" t="n">
        <v>2116.3</v>
      </c>
      <c r="G681" s="39" t="n">
        <v>1</v>
      </c>
      <c r="H681" s="40" t="n">
        <v>155</v>
      </c>
    </row>
    <row r="682" s="33" customFormat="true" ht="14.25" hidden="false" customHeight="false" outlineLevel="0" collapsed="false">
      <c r="A682" s="34" t="n">
        <f aca="false">A681+1</f>
        <v>677</v>
      </c>
      <c r="B682" s="35" t="s">
        <v>345</v>
      </c>
      <c r="C682" s="35" t="str">
        <f aca="false">"0003369"</f>
        <v>0003369</v>
      </c>
      <c r="D682" s="37" t="s">
        <v>573</v>
      </c>
      <c r="E682" s="35" t="n">
        <v>2003</v>
      </c>
      <c r="F682" s="38" t="n">
        <v>2780.2</v>
      </c>
      <c r="G682" s="39" t="n">
        <v>1</v>
      </c>
      <c r="H682" s="40" t="n">
        <v>205</v>
      </c>
    </row>
    <row r="683" s="33" customFormat="true" ht="14.25" hidden="false" customHeight="false" outlineLevel="0" collapsed="false">
      <c r="A683" s="34" t="n">
        <f aca="false">A682+1</f>
        <v>678</v>
      </c>
      <c r="B683" s="35" t="s">
        <v>345</v>
      </c>
      <c r="C683" s="35" t="str">
        <f aca="false">"0003370"</f>
        <v>0003370</v>
      </c>
      <c r="D683" s="37" t="s">
        <v>574</v>
      </c>
      <c r="E683" s="35" t="n">
        <v>2003</v>
      </c>
      <c r="F683" s="38" t="n">
        <v>1031.1</v>
      </c>
      <c r="G683" s="39" t="n">
        <v>1</v>
      </c>
      <c r="H683" s="40" t="n">
        <v>75</v>
      </c>
    </row>
    <row r="684" s="33" customFormat="true" ht="14.25" hidden="false" customHeight="false" outlineLevel="0" collapsed="false">
      <c r="A684" s="34" t="n">
        <f aca="false">A683+1</f>
        <v>679</v>
      </c>
      <c r="B684" s="35" t="s">
        <v>345</v>
      </c>
      <c r="C684" s="35" t="str">
        <f aca="false">"0003371"</f>
        <v>0003371</v>
      </c>
      <c r="D684" s="37" t="s">
        <v>564</v>
      </c>
      <c r="E684" s="35" t="n">
        <v>2003</v>
      </c>
      <c r="F684" s="38" t="n">
        <v>1107</v>
      </c>
      <c r="G684" s="39" t="n">
        <v>1</v>
      </c>
      <c r="H684" s="40" t="n">
        <v>80</v>
      </c>
    </row>
    <row r="685" s="33" customFormat="true" ht="14.25" hidden="false" customHeight="false" outlineLevel="0" collapsed="false">
      <c r="A685" s="34" t="n">
        <f aca="false">A684+1</f>
        <v>680</v>
      </c>
      <c r="B685" s="35" t="s">
        <v>345</v>
      </c>
      <c r="C685" s="35" t="str">
        <f aca="false">"0003372"</f>
        <v>0003372</v>
      </c>
      <c r="D685" s="37" t="s">
        <v>575</v>
      </c>
      <c r="E685" s="35" t="n">
        <v>2003</v>
      </c>
      <c r="F685" s="38" t="n">
        <v>1107</v>
      </c>
      <c r="G685" s="39" t="n">
        <v>2</v>
      </c>
      <c r="H685" s="40" t="n">
        <v>160</v>
      </c>
    </row>
    <row r="686" s="33" customFormat="true" ht="14.25" hidden="false" customHeight="false" outlineLevel="0" collapsed="false">
      <c r="A686" s="34" t="n">
        <f aca="false">A685+1</f>
        <v>681</v>
      </c>
      <c r="B686" s="35" t="s">
        <v>345</v>
      </c>
      <c r="C686" s="35" t="str">
        <f aca="false">"0003374"</f>
        <v>0003374</v>
      </c>
      <c r="D686" s="37" t="s">
        <v>576</v>
      </c>
      <c r="E686" s="35" t="n">
        <v>2003</v>
      </c>
      <c r="F686" s="38" t="n">
        <v>9600</v>
      </c>
      <c r="G686" s="39" t="n">
        <v>1</v>
      </c>
      <c r="H686" s="40" t="n">
        <v>710</v>
      </c>
    </row>
    <row r="687" s="33" customFormat="true" ht="14.25" hidden="false" customHeight="false" outlineLevel="0" collapsed="false">
      <c r="A687" s="34" t="n">
        <f aca="false">A686+1</f>
        <v>682</v>
      </c>
      <c r="B687" s="35" t="s">
        <v>345</v>
      </c>
      <c r="C687" s="35" t="str">
        <f aca="false">"0003375"</f>
        <v>0003375</v>
      </c>
      <c r="D687" s="37" t="s">
        <v>577</v>
      </c>
      <c r="E687" s="35" t="n">
        <v>2003</v>
      </c>
      <c r="F687" s="38" t="n">
        <v>2719</v>
      </c>
      <c r="G687" s="39" t="n">
        <v>1</v>
      </c>
      <c r="H687" s="40" t="n">
        <v>200</v>
      </c>
    </row>
    <row r="688" s="33" customFormat="true" ht="14.25" hidden="false" customHeight="false" outlineLevel="0" collapsed="false">
      <c r="A688" s="34" t="n">
        <f aca="false">A687+1</f>
        <v>683</v>
      </c>
      <c r="B688" s="35" t="s">
        <v>345</v>
      </c>
      <c r="C688" s="35" t="str">
        <f aca="false">"0003376"</f>
        <v>0003376</v>
      </c>
      <c r="D688" s="37" t="s">
        <v>578</v>
      </c>
      <c r="E688" s="35" t="n">
        <v>2003</v>
      </c>
      <c r="F688" s="38" t="n">
        <v>4972</v>
      </c>
      <c r="G688" s="39" t="n">
        <v>1</v>
      </c>
      <c r="H688" s="40" t="n">
        <v>370</v>
      </c>
    </row>
    <row r="689" s="33" customFormat="true" ht="14.25" hidden="false" customHeight="false" outlineLevel="0" collapsed="false">
      <c r="A689" s="34" t="n">
        <f aca="false">A688+1</f>
        <v>684</v>
      </c>
      <c r="B689" s="35" t="s">
        <v>345</v>
      </c>
      <c r="C689" s="35" t="str">
        <f aca="false">"0003377"</f>
        <v>0003377</v>
      </c>
      <c r="D689" s="37" t="s">
        <v>579</v>
      </c>
      <c r="E689" s="35" t="n">
        <v>2003</v>
      </c>
      <c r="F689" s="38" t="n">
        <v>3196</v>
      </c>
      <c r="G689" s="39" t="n">
        <v>3</v>
      </c>
      <c r="H689" s="40" t="n">
        <v>705</v>
      </c>
    </row>
    <row r="690" s="33" customFormat="true" ht="14.25" hidden="false" customHeight="false" outlineLevel="0" collapsed="false">
      <c r="A690" s="34" t="n">
        <f aca="false">A689+1</f>
        <v>685</v>
      </c>
      <c r="B690" s="35" t="s">
        <v>345</v>
      </c>
      <c r="C690" s="35" t="str">
        <f aca="false">"0003380"</f>
        <v>0003380</v>
      </c>
      <c r="D690" s="37" t="s">
        <v>580</v>
      </c>
      <c r="E690" s="35" t="n">
        <v>2003</v>
      </c>
      <c r="F690" s="38" t="n">
        <v>3196</v>
      </c>
      <c r="G690" s="39" t="n">
        <v>1</v>
      </c>
      <c r="H690" s="40" t="n">
        <v>235</v>
      </c>
    </row>
    <row r="691" s="33" customFormat="true" ht="14.25" hidden="false" customHeight="false" outlineLevel="0" collapsed="false">
      <c r="A691" s="34" t="n">
        <f aca="false">A690+1</f>
        <v>686</v>
      </c>
      <c r="B691" s="35" t="s">
        <v>345</v>
      </c>
      <c r="C691" s="35" t="str">
        <f aca="false">"0003381"</f>
        <v>0003381</v>
      </c>
      <c r="D691" s="37" t="s">
        <v>581</v>
      </c>
      <c r="E691" s="35" t="n">
        <v>2003</v>
      </c>
      <c r="F691" s="38" t="n">
        <v>2947.5</v>
      </c>
      <c r="G691" s="39" t="n">
        <v>2</v>
      </c>
      <c r="H691" s="40" t="n">
        <v>440</v>
      </c>
    </row>
    <row r="692" s="33" customFormat="true" ht="14.25" hidden="false" customHeight="false" outlineLevel="0" collapsed="false">
      <c r="A692" s="34" t="n">
        <f aca="false">A691+1</f>
        <v>687</v>
      </c>
      <c r="B692" s="35" t="s">
        <v>345</v>
      </c>
      <c r="C692" s="35" t="str">
        <f aca="false">"0003383"</f>
        <v>0003383</v>
      </c>
      <c r="D692" s="37" t="s">
        <v>582</v>
      </c>
      <c r="E692" s="35" t="n">
        <v>2003</v>
      </c>
      <c r="F692" s="38" t="n">
        <v>3060</v>
      </c>
      <c r="G692" s="39" t="n">
        <v>2</v>
      </c>
      <c r="H692" s="40" t="n">
        <v>450</v>
      </c>
    </row>
    <row r="693" s="33" customFormat="true" ht="14.25" hidden="false" customHeight="false" outlineLevel="0" collapsed="false">
      <c r="A693" s="34" t="n">
        <f aca="false">A692+1</f>
        <v>688</v>
      </c>
      <c r="B693" s="35" t="s">
        <v>345</v>
      </c>
      <c r="C693" s="35" t="str">
        <f aca="false">"0003420"</f>
        <v>0003420</v>
      </c>
      <c r="D693" s="37" t="s">
        <v>583</v>
      </c>
      <c r="E693" s="35" t="n">
        <v>2003</v>
      </c>
      <c r="F693" s="38" t="n">
        <v>1170.96</v>
      </c>
      <c r="G693" s="39" t="n">
        <v>33</v>
      </c>
      <c r="H693" s="40" t="n">
        <v>2805</v>
      </c>
    </row>
    <row r="694" s="33" customFormat="true" ht="14.25" hidden="false" customHeight="false" outlineLevel="0" collapsed="false">
      <c r="A694" s="34" t="n">
        <f aca="false">A693+1</f>
        <v>689</v>
      </c>
      <c r="B694" s="35" t="s">
        <v>345</v>
      </c>
      <c r="C694" s="35" t="str">
        <f aca="false">"0003454"</f>
        <v>0003454</v>
      </c>
      <c r="D694" s="37" t="s">
        <v>584</v>
      </c>
      <c r="E694" s="35" t="n">
        <v>2003</v>
      </c>
      <c r="F694" s="38" t="n">
        <v>7390</v>
      </c>
      <c r="G694" s="39" t="n">
        <v>1</v>
      </c>
      <c r="H694" s="40" t="n">
        <v>545</v>
      </c>
    </row>
    <row r="695" s="33" customFormat="true" ht="14.25" hidden="false" customHeight="false" outlineLevel="0" collapsed="false">
      <c r="A695" s="34" t="n">
        <f aca="false">A694+1</f>
        <v>690</v>
      </c>
      <c r="B695" s="35" t="s">
        <v>345</v>
      </c>
      <c r="C695" s="35" t="str">
        <f aca="false">"0003478"</f>
        <v>0003478</v>
      </c>
      <c r="D695" s="37" t="s">
        <v>585</v>
      </c>
      <c r="E695" s="35" t="n">
        <v>2003</v>
      </c>
      <c r="F695" s="38" t="n">
        <v>10450.44</v>
      </c>
      <c r="G695" s="39" t="n">
        <v>1</v>
      </c>
      <c r="H695" s="40" t="n">
        <v>770</v>
      </c>
    </row>
    <row r="696" s="33" customFormat="true" ht="14.25" hidden="false" customHeight="false" outlineLevel="0" collapsed="false">
      <c r="A696" s="34" t="n">
        <f aca="false">A695+1</f>
        <v>691</v>
      </c>
      <c r="B696" s="35" t="s">
        <v>345</v>
      </c>
      <c r="C696" s="35" t="str">
        <f aca="false">"0003483"</f>
        <v>0003483</v>
      </c>
      <c r="D696" s="37" t="s">
        <v>586</v>
      </c>
      <c r="E696" s="35" t="n">
        <v>2003</v>
      </c>
      <c r="F696" s="38" t="n">
        <v>2011.44</v>
      </c>
      <c r="G696" s="39" t="n">
        <v>6</v>
      </c>
      <c r="H696" s="40" t="n">
        <v>900</v>
      </c>
    </row>
    <row r="697" s="33" customFormat="true" ht="14.25" hidden="false" customHeight="false" outlineLevel="0" collapsed="false">
      <c r="A697" s="34" t="n">
        <f aca="false">A696+1</f>
        <v>692</v>
      </c>
      <c r="B697" s="35" t="s">
        <v>345</v>
      </c>
      <c r="C697" s="35" t="str">
        <f aca="false">"0003506"</f>
        <v>0003506</v>
      </c>
      <c r="D697" s="37" t="s">
        <v>587</v>
      </c>
      <c r="E697" s="35" t="n">
        <v>2003</v>
      </c>
      <c r="F697" s="38" t="n">
        <v>9126</v>
      </c>
      <c r="G697" s="39" t="n">
        <v>1</v>
      </c>
      <c r="H697" s="40" t="n">
        <v>670</v>
      </c>
    </row>
    <row r="698" s="33" customFormat="true" ht="14.25" hidden="false" customHeight="false" outlineLevel="0" collapsed="false">
      <c r="A698" s="34" t="n">
        <f aca="false">A697+1</f>
        <v>693</v>
      </c>
      <c r="B698" s="35" t="s">
        <v>345</v>
      </c>
      <c r="C698" s="35" t="str">
        <f aca="false">"0003507"</f>
        <v>0003507</v>
      </c>
      <c r="D698" s="37" t="s">
        <v>588</v>
      </c>
      <c r="E698" s="35" t="n">
        <v>2003</v>
      </c>
      <c r="F698" s="38" t="n">
        <v>2266</v>
      </c>
      <c r="G698" s="39" t="n">
        <v>2</v>
      </c>
      <c r="H698" s="40" t="n">
        <v>340</v>
      </c>
    </row>
    <row r="699" s="33" customFormat="true" ht="14.25" hidden="false" customHeight="false" outlineLevel="0" collapsed="false">
      <c r="A699" s="34" t="n">
        <f aca="false">A698+1</f>
        <v>694</v>
      </c>
      <c r="B699" s="35" t="s">
        <v>345</v>
      </c>
      <c r="C699" s="35" t="str">
        <f aca="false">"0003509"</f>
        <v>0003509</v>
      </c>
      <c r="D699" s="37" t="s">
        <v>589</v>
      </c>
      <c r="E699" s="35" t="n">
        <v>2003</v>
      </c>
      <c r="F699" s="38" t="n">
        <v>1529</v>
      </c>
      <c r="G699" s="39" t="n">
        <v>2</v>
      </c>
      <c r="H699" s="40" t="n">
        <v>230</v>
      </c>
    </row>
    <row r="700" s="33" customFormat="true" ht="14.25" hidden="false" customHeight="false" outlineLevel="0" collapsed="false">
      <c r="A700" s="34" t="n">
        <f aca="false">A699+1</f>
        <v>695</v>
      </c>
      <c r="B700" s="35" t="s">
        <v>345</v>
      </c>
      <c r="C700" s="35" t="str">
        <f aca="false">"0003530"</f>
        <v>0003530</v>
      </c>
      <c r="D700" s="37" t="s">
        <v>590</v>
      </c>
      <c r="E700" s="35" t="n">
        <v>2003</v>
      </c>
      <c r="F700" s="38" t="n">
        <v>1402.67</v>
      </c>
      <c r="G700" s="39" t="n">
        <v>3</v>
      </c>
      <c r="H700" s="40" t="n">
        <v>315</v>
      </c>
    </row>
    <row r="701" s="33" customFormat="true" ht="14.25" hidden="false" customHeight="false" outlineLevel="0" collapsed="false">
      <c r="A701" s="34" t="n">
        <f aca="false">A700+1</f>
        <v>696</v>
      </c>
      <c r="B701" s="35" t="s">
        <v>345</v>
      </c>
      <c r="C701" s="35" t="str">
        <f aca="false">"0003534"</f>
        <v>0003534</v>
      </c>
      <c r="D701" s="37" t="s">
        <v>591</v>
      </c>
      <c r="E701" s="35" t="n">
        <v>2003</v>
      </c>
      <c r="F701" s="38" t="n">
        <v>2972.3</v>
      </c>
      <c r="G701" s="39" t="n">
        <v>2</v>
      </c>
      <c r="H701" s="40" t="n">
        <v>440</v>
      </c>
    </row>
    <row r="702" s="33" customFormat="true" ht="14.25" hidden="false" customHeight="false" outlineLevel="0" collapsed="false">
      <c r="A702" s="34" t="n">
        <f aca="false">A701+1</f>
        <v>697</v>
      </c>
      <c r="B702" s="35" t="s">
        <v>345</v>
      </c>
      <c r="C702" s="35" t="str">
        <f aca="false">"0003567"</f>
        <v>0003567</v>
      </c>
      <c r="D702" s="37" t="s">
        <v>592</v>
      </c>
      <c r="E702" s="35" t="n">
        <v>2003</v>
      </c>
      <c r="F702" s="38" t="n">
        <v>2896.7</v>
      </c>
      <c r="G702" s="39" t="n">
        <v>1</v>
      </c>
      <c r="H702" s="40" t="n">
        <v>185</v>
      </c>
    </row>
    <row r="703" s="33" customFormat="true" ht="14.25" hidden="false" customHeight="false" outlineLevel="0" collapsed="false">
      <c r="A703" s="34" t="n">
        <f aca="false">A702+1</f>
        <v>698</v>
      </c>
      <c r="B703" s="35" t="s">
        <v>345</v>
      </c>
      <c r="C703" s="35" t="str">
        <f aca="false">"0003585"</f>
        <v>0003585</v>
      </c>
      <c r="D703" s="37" t="s">
        <v>593</v>
      </c>
      <c r="E703" s="35" t="n">
        <v>2003</v>
      </c>
      <c r="F703" s="38" t="n">
        <v>1191.4</v>
      </c>
      <c r="G703" s="39" t="n">
        <v>4</v>
      </c>
      <c r="H703" s="40" t="n">
        <v>360</v>
      </c>
    </row>
    <row r="704" s="33" customFormat="true" ht="14.25" hidden="false" customHeight="false" outlineLevel="0" collapsed="false">
      <c r="A704" s="34" t="n">
        <f aca="false">A703+1</f>
        <v>699</v>
      </c>
      <c r="B704" s="35" t="s">
        <v>345</v>
      </c>
      <c r="C704" s="35" t="str">
        <f aca="false">"0003589"</f>
        <v>0003589</v>
      </c>
      <c r="D704" s="37" t="s">
        <v>594</v>
      </c>
      <c r="E704" s="35" t="n">
        <v>2003</v>
      </c>
      <c r="F704" s="38" t="n">
        <v>3945.1</v>
      </c>
      <c r="G704" s="39" t="n">
        <v>1</v>
      </c>
      <c r="H704" s="40" t="n">
        <v>290</v>
      </c>
    </row>
    <row r="705" s="33" customFormat="true" ht="14.25" hidden="false" customHeight="false" outlineLevel="0" collapsed="false">
      <c r="A705" s="34" t="n">
        <f aca="false">A704+1</f>
        <v>700</v>
      </c>
      <c r="B705" s="35" t="s">
        <v>345</v>
      </c>
      <c r="C705" s="35" t="str">
        <f aca="false">"0003590"</f>
        <v>0003590</v>
      </c>
      <c r="D705" s="37" t="s">
        <v>595</v>
      </c>
      <c r="E705" s="35" t="n">
        <v>2003</v>
      </c>
      <c r="F705" s="38" t="n">
        <v>4614</v>
      </c>
      <c r="G705" s="39" t="n">
        <v>2</v>
      </c>
      <c r="H705" s="40" t="n">
        <v>680</v>
      </c>
    </row>
    <row r="706" s="33" customFormat="true" ht="14.25" hidden="false" customHeight="false" outlineLevel="0" collapsed="false">
      <c r="A706" s="34" t="n">
        <f aca="false">A705+1</f>
        <v>701</v>
      </c>
      <c r="B706" s="35" t="s">
        <v>345</v>
      </c>
      <c r="C706" s="35" t="str">
        <f aca="false">"0003592"</f>
        <v>0003592</v>
      </c>
      <c r="D706" s="37" t="s">
        <v>596</v>
      </c>
      <c r="E706" s="35" t="n">
        <v>2003</v>
      </c>
      <c r="F706" s="38" t="n">
        <v>8676</v>
      </c>
      <c r="G706" s="39" t="n">
        <v>14</v>
      </c>
      <c r="H706" s="40" t="n">
        <v>8960</v>
      </c>
    </row>
    <row r="707" s="33" customFormat="true" ht="14.25" hidden="false" customHeight="false" outlineLevel="0" collapsed="false">
      <c r="A707" s="34" t="n">
        <f aca="false">A706+1</f>
        <v>702</v>
      </c>
      <c r="B707" s="35" t="s">
        <v>345</v>
      </c>
      <c r="C707" s="35" t="str">
        <f aca="false">"0003606"</f>
        <v>0003606</v>
      </c>
      <c r="D707" s="37" t="s">
        <v>597</v>
      </c>
      <c r="E707" s="35" t="n">
        <v>2003</v>
      </c>
      <c r="F707" s="38" t="n">
        <v>2360.3</v>
      </c>
      <c r="G707" s="39" t="n">
        <v>1</v>
      </c>
      <c r="H707" s="40" t="n">
        <v>175</v>
      </c>
    </row>
    <row r="708" s="33" customFormat="true" ht="14.25" hidden="false" customHeight="false" outlineLevel="0" collapsed="false">
      <c r="A708" s="34" t="n">
        <f aca="false">A707+1</f>
        <v>703</v>
      </c>
      <c r="B708" s="35" t="s">
        <v>345</v>
      </c>
      <c r="C708" s="35" t="str">
        <f aca="false">"0003691"</f>
        <v>0003691</v>
      </c>
      <c r="D708" s="37" t="s">
        <v>598</v>
      </c>
      <c r="E708" s="35" t="n">
        <v>2003</v>
      </c>
      <c r="F708" s="38" t="n">
        <v>8200.77</v>
      </c>
      <c r="G708" s="39" t="n">
        <v>1</v>
      </c>
      <c r="H708" s="40" t="n">
        <v>605</v>
      </c>
    </row>
    <row r="709" s="33" customFormat="true" ht="14.25" hidden="false" customHeight="false" outlineLevel="0" collapsed="false">
      <c r="A709" s="34" t="n">
        <f aca="false">A708+1</f>
        <v>704</v>
      </c>
      <c r="B709" s="35" t="s">
        <v>345</v>
      </c>
      <c r="C709" s="35" t="str">
        <f aca="false">"0003692"</f>
        <v>0003692</v>
      </c>
      <c r="D709" s="37" t="s">
        <v>599</v>
      </c>
      <c r="E709" s="35" t="n">
        <v>2003</v>
      </c>
      <c r="F709" s="38" t="n">
        <v>8202.3</v>
      </c>
      <c r="G709" s="39" t="n">
        <v>1</v>
      </c>
      <c r="H709" s="40" t="n">
        <v>605</v>
      </c>
    </row>
    <row r="710" s="33" customFormat="true" ht="14.25" hidden="false" customHeight="false" outlineLevel="0" collapsed="false">
      <c r="A710" s="34" t="n">
        <f aca="false">A709+1</f>
        <v>705</v>
      </c>
      <c r="B710" s="35" t="s">
        <v>345</v>
      </c>
      <c r="C710" s="35" t="str">
        <f aca="false">"0003693"</f>
        <v>0003693</v>
      </c>
      <c r="D710" s="37" t="s">
        <v>600</v>
      </c>
      <c r="E710" s="35" t="n">
        <v>2003</v>
      </c>
      <c r="F710" s="38" t="n">
        <v>6980.29</v>
      </c>
      <c r="G710" s="39" t="n">
        <v>1</v>
      </c>
      <c r="H710" s="40" t="n">
        <v>515</v>
      </c>
    </row>
    <row r="711" s="33" customFormat="true" ht="14.25" hidden="false" customHeight="false" outlineLevel="0" collapsed="false">
      <c r="A711" s="34" t="n">
        <f aca="false">A710+1</f>
        <v>706</v>
      </c>
      <c r="B711" s="35" t="s">
        <v>345</v>
      </c>
      <c r="C711" s="35" t="str">
        <f aca="false">"0003694"</f>
        <v>0003694</v>
      </c>
      <c r="D711" s="37" t="s">
        <v>601</v>
      </c>
      <c r="E711" s="35" t="n">
        <v>2003</v>
      </c>
      <c r="F711" s="38" t="n">
        <v>8052.56</v>
      </c>
      <c r="G711" s="39" t="n">
        <v>1</v>
      </c>
      <c r="H711" s="40" t="n">
        <v>600</v>
      </c>
    </row>
    <row r="712" s="33" customFormat="true" ht="14.25" hidden="false" customHeight="false" outlineLevel="0" collapsed="false">
      <c r="A712" s="34" t="n">
        <f aca="false">A711+1</f>
        <v>707</v>
      </c>
      <c r="B712" s="35" t="s">
        <v>345</v>
      </c>
      <c r="C712" s="35" t="str">
        <f aca="false">"0003699"</f>
        <v>0003699</v>
      </c>
      <c r="D712" s="37" t="s">
        <v>602</v>
      </c>
      <c r="E712" s="35" t="n">
        <v>2003</v>
      </c>
      <c r="F712" s="38" t="n">
        <v>8179.4</v>
      </c>
      <c r="G712" s="39" t="n">
        <v>1</v>
      </c>
      <c r="H712" s="40" t="n">
        <v>600</v>
      </c>
    </row>
    <row r="713" s="33" customFormat="true" ht="14.25" hidden="false" customHeight="false" outlineLevel="0" collapsed="false">
      <c r="A713" s="34" t="n">
        <f aca="false">A712+1</f>
        <v>708</v>
      </c>
      <c r="B713" s="35" t="s">
        <v>345</v>
      </c>
      <c r="C713" s="35" t="str">
        <f aca="false">"0003700"</f>
        <v>0003700</v>
      </c>
      <c r="D713" s="37" t="s">
        <v>603</v>
      </c>
      <c r="E713" s="35" t="n">
        <v>2003</v>
      </c>
      <c r="F713" s="38" t="n">
        <v>5686.6</v>
      </c>
      <c r="G713" s="39" t="n">
        <v>1</v>
      </c>
      <c r="H713" s="40" t="n">
        <v>420</v>
      </c>
    </row>
    <row r="714" s="33" customFormat="true" ht="14.25" hidden="false" customHeight="false" outlineLevel="0" collapsed="false">
      <c r="A714" s="34" t="n">
        <f aca="false">A713+1</f>
        <v>709</v>
      </c>
      <c r="B714" s="35" t="s">
        <v>345</v>
      </c>
      <c r="C714" s="35" t="str">
        <f aca="false">"0003701"</f>
        <v>0003701</v>
      </c>
      <c r="D714" s="37" t="s">
        <v>604</v>
      </c>
      <c r="E714" s="35" t="n">
        <v>2003</v>
      </c>
      <c r="F714" s="38" t="n">
        <v>9747</v>
      </c>
      <c r="G714" s="39" t="n">
        <v>1</v>
      </c>
      <c r="H714" s="40" t="n">
        <v>615</v>
      </c>
    </row>
    <row r="715" s="33" customFormat="true" ht="14.25" hidden="false" customHeight="false" outlineLevel="0" collapsed="false">
      <c r="A715" s="34" t="n">
        <f aca="false">A714+1</f>
        <v>710</v>
      </c>
      <c r="B715" s="35" t="s">
        <v>345</v>
      </c>
      <c r="C715" s="35" t="str">
        <f aca="false">"0003702"</f>
        <v>0003702</v>
      </c>
      <c r="D715" s="37" t="s">
        <v>605</v>
      </c>
      <c r="E715" s="35" t="n">
        <v>2003</v>
      </c>
      <c r="F715" s="38" t="n">
        <v>9887.6</v>
      </c>
      <c r="G715" s="39" t="n">
        <v>2</v>
      </c>
      <c r="H715" s="40" t="n">
        <v>1460</v>
      </c>
    </row>
    <row r="716" s="33" customFormat="true" ht="14.25" hidden="false" customHeight="false" outlineLevel="0" collapsed="false">
      <c r="A716" s="34" t="n">
        <f aca="false">A715+1</f>
        <v>711</v>
      </c>
      <c r="B716" s="35" t="s">
        <v>345</v>
      </c>
      <c r="C716" s="35" t="str">
        <f aca="false">"0003704"</f>
        <v>0003704</v>
      </c>
      <c r="D716" s="37" t="s">
        <v>606</v>
      </c>
      <c r="E716" s="35" t="n">
        <v>2003</v>
      </c>
      <c r="F716" s="38" t="n">
        <v>3000</v>
      </c>
      <c r="G716" s="39" t="n">
        <v>2</v>
      </c>
      <c r="H716" s="40" t="n">
        <v>440</v>
      </c>
    </row>
    <row r="717" s="33" customFormat="true" ht="14.25" hidden="false" customHeight="false" outlineLevel="0" collapsed="false">
      <c r="A717" s="34" t="n">
        <f aca="false">A716+1</f>
        <v>712</v>
      </c>
      <c r="B717" s="35" t="s">
        <v>345</v>
      </c>
      <c r="C717" s="35" t="str">
        <f aca="false">"0003706"</f>
        <v>0003706</v>
      </c>
      <c r="D717" s="37" t="s">
        <v>607</v>
      </c>
      <c r="E717" s="35" t="n">
        <v>2003</v>
      </c>
      <c r="F717" s="38" t="n">
        <v>3922</v>
      </c>
      <c r="G717" s="39" t="n">
        <v>2</v>
      </c>
      <c r="H717" s="40" t="n">
        <v>580</v>
      </c>
    </row>
    <row r="718" s="33" customFormat="true" ht="14.25" hidden="false" customHeight="false" outlineLevel="0" collapsed="false">
      <c r="A718" s="34" t="n">
        <f aca="false">A717+1</f>
        <v>713</v>
      </c>
      <c r="B718" s="35" t="s">
        <v>345</v>
      </c>
      <c r="C718" s="35" t="str">
        <f aca="false">"0003836"</f>
        <v>0003836</v>
      </c>
      <c r="D718" s="37" t="s">
        <v>608</v>
      </c>
      <c r="E718" s="35" t="n">
        <v>2004</v>
      </c>
      <c r="F718" s="38" t="n">
        <v>30453.31</v>
      </c>
      <c r="G718" s="39" t="n">
        <v>2</v>
      </c>
      <c r="H718" s="40" t="n">
        <v>5080</v>
      </c>
    </row>
    <row r="719" s="33" customFormat="true" ht="14.25" hidden="false" customHeight="false" outlineLevel="0" collapsed="false">
      <c r="A719" s="34" t="n">
        <f aca="false">A718+1</f>
        <v>714</v>
      </c>
      <c r="B719" s="35" t="s">
        <v>345</v>
      </c>
      <c r="C719" s="35" t="str">
        <f aca="false">"0003838"</f>
        <v>0003838</v>
      </c>
      <c r="D719" s="37" t="s">
        <v>609</v>
      </c>
      <c r="E719" s="35" t="n">
        <v>2004</v>
      </c>
      <c r="F719" s="38" t="n">
        <v>2846.9</v>
      </c>
      <c r="G719" s="39" t="n">
        <v>7</v>
      </c>
      <c r="H719" s="40" t="n">
        <v>1680</v>
      </c>
    </row>
    <row r="720" s="33" customFormat="true" ht="14.25" hidden="false" customHeight="false" outlineLevel="0" collapsed="false">
      <c r="A720" s="34" t="n">
        <f aca="false">A719+1</f>
        <v>715</v>
      </c>
      <c r="B720" s="35" t="s">
        <v>345</v>
      </c>
      <c r="C720" s="35" t="str">
        <f aca="false">"0003845"</f>
        <v>0003845</v>
      </c>
      <c r="D720" s="37" t="s">
        <v>610</v>
      </c>
      <c r="E720" s="35" t="n">
        <v>2003</v>
      </c>
      <c r="F720" s="38" t="n">
        <v>1556.55</v>
      </c>
      <c r="G720" s="39" t="n">
        <v>1</v>
      </c>
      <c r="H720" s="40" t="n">
        <v>130</v>
      </c>
    </row>
    <row r="721" s="33" customFormat="true" ht="14.25" hidden="false" customHeight="false" outlineLevel="0" collapsed="false">
      <c r="A721" s="34" t="n">
        <f aca="false">A720+1</f>
        <v>716</v>
      </c>
      <c r="B721" s="35" t="s">
        <v>345</v>
      </c>
      <c r="C721" s="35" t="str">
        <f aca="false">"0003846"</f>
        <v>0003846</v>
      </c>
      <c r="D721" s="37" t="s">
        <v>611</v>
      </c>
      <c r="E721" s="35" t="n">
        <v>2003</v>
      </c>
      <c r="F721" s="38" t="n">
        <v>1556.55</v>
      </c>
      <c r="G721" s="39" t="n">
        <v>1</v>
      </c>
      <c r="H721" s="40" t="n">
        <v>130</v>
      </c>
    </row>
    <row r="722" s="33" customFormat="true" ht="14.25" hidden="false" customHeight="false" outlineLevel="0" collapsed="false">
      <c r="A722" s="34" t="n">
        <f aca="false">A721+1</f>
        <v>717</v>
      </c>
      <c r="B722" s="35" t="s">
        <v>345</v>
      </c>
      <c r="C722" s="35" t="str">
        <f aca="false">"0003847"</f>
        <v>0003847</v>
      </c>
      <c r="D722" s="37" t="s">
        <v>612</v>
      </c>
      <c r="E722" s="35" t="n">
        <v>2004</v>
      </c>
      <c r="F722" s="38" t="n">
        <v>1364.8</v>
      </c>
      <c r="G722" s="39" t="n">
        <v>1</v>
      </c>
      <c r="H722" s="40" t="n">
        <v>115</v>
      </c>
    </row>
    <row r="723" s="33" customFormat="true" ht="14.25" hidden="false" customHeight="false" outlineLevel="0" collapsed="false">
      <c r="A723" s="34" t="n">
        <f aca="false">A722+1</f>
        <v>718</v>
      </c>
      <c r="B723" s="35" t="s">
        <v>345</v>
      </c>
      <c r="C723" s="35" t="str">
        <f aca="false">"0003848"</f>
        <v>0003848</v>
      </c>
      <c r="D723" s="37" t="s">
        <v>613</v>
      </c>
      <c r="E723" s="35" t="n">
        <v>2004</v>
      </c>
      <c r="F723" s="38" t="n">
        <v>1945</v>
      </c>
      <c r="G723" s="39" t="n">
        <v>1</v>
      </c>
      <c r="H723" s="40" t="n">
        <v>160</v>
      </c>
    </row>
    <row r="724" s="33" customFormat="true" ht="14.25" hidden="false" customHeight="false" outlineLevel="0" collapsed="false">
      <c r="A724" s="34" t="n">
        <f aca="false">A723+1</f>
        <v>719</v>
      </c>
      <c r="B724" s="35" t="s">
        <v>345</v>
      </c>
      <c r="C724" s="35" t="str">
        <f aca="false">"0003851"</f>
        <v>0003851</v>
      </c>
      <c r="D724" s="37" t="s">
        <v>614</v>
      </c>
      <c r="E724" s="35" t="n">
        <v>2004</v>
      </c>
      <c r="F724" s="38" t="n">
        <v>1066.4</v>
      </c>
      <c r="G724" s="39" t="n">
        <v>1</v>
      </c>
      <c r="H724" s="40" t="n">
        <v>90</v>
      </c>
    </row>
    <row r="725" s="33" customFormat="true" ht="14.25" hidden="false" customHeight="false" outlineLevel="0" collapsed="false">
      <c r="A725" s="34" t="n">
        <f aca="false">A724+1</f>
        <v>720</v>
      </c>
      <c r="B725" s="35" t="s">
        <v>345</v>
      </c>
      <c r="C725" s="35" t="str">
        <f aca="false">"0003852"</f>
        <v>0003852</v>
      </c>
      <c r="D725" s="37" t="s">
        <v>615</v>
      </c>
      <c r="E725" s="35" t="n">
        <v>2004</v>
      </c>
      <c r="F725" s="38" t="n">
        <v>1061.8</v>
      </c>
      <c r="G725" s="39" t="n">
        <v>1</v>
      </c>
      <c r="H725" s="40" t="n">
        <v>90</v>
      </c>
    </row>
    <row r="726" s="33" customFormat="true" ht="14.25" hidden="false" customHeight="false" outlineLevel="0" collapsed="false">
      <c r="A726" s="34" t="n">
        <f aca="false">A725+1</f>
        <v>721</v>
      </c>
      <c r="B726" s="35" t="s">
        <v>345</v>
      </c>
      <c r="C726" s="35" t="str">
        <f aca="false">"0003854"</f>
        <v>0003854</v>
      </c>
      <c r="D726" s="37" t="s">
        <v>616</v>
      </c>
      <c r="E726" s="35" t="n">
        <v>2004</v>
      </c>
      <c r="F726" s="38" t="n">
        <v>1513.9</v>
      </c>
      <c r="G726" s="39" t="n">
        <v>1</v>
      </c>
      <c r="H726" s="40" t="n">
        <v>130</v>
      </c>
    </row>
    <row r="727" s="33" customFormat="true" ht="14.25" hidden="false" customHeight="false" outlineLevel="0" collapsed="false">
      <c r="A727" s="34" t="n">
        <f aca="false">A726+1</f>
        <v>722</v>
      </c>
      <c r="B727" s="35" t="s">
        <v>345</v>
      </c>
      <c r="C727" s="35" t="str">
        <f aca="false">"0003858"</f>
        <v>0003858</v>
      </c>
      <c r="D727" s="37" t="s">
        <v>617</v>
      </c>
      <c r="E727" s="35" t="n">
        <v>2004</v>
      </c>
      <c r="F727" s="38" t="n">
        <v>2452.5</v>
      </c>
      <c r="G727" s="39" t="n">
        <v>1</v>
      </c>
      <c r="H727" s="40" t="n">
        <v>205</v>
      </c>
    </row>
    <row r="728" s="33" customFormat="true" ht="14.25" hidden="false" customHeight="false" outlineLevel="0" collapsed="false">
      <c r="A728" s="34" t="n">
        <f aca="false">A727+1</f>
        <v>723</v>
      </c>
      <c r="B728" s="35" t="s">
        <v>345</v>
      </c>
      <c r="C728" s="35" t="str">
        <f aca="false">"0003859"</f>
        <v>0003859</v>
      </c>
      <c r="D728" s="37" t="s">
        <v>618</v>
      </c>
      <c r="E728" s="35" t="n">
        <v>2004</v>
      </c>
      <c r="F728" s="38" t="n">
        <v>2539.6</v>
      </c>
      <c r="G728" s="39" t="n">
        <v>1</v>
      </c>
      <c r="H728" s="40" t="n">
        <v>210</v>
      </c>
    </row>
    <row r="729" s="33" customFormat="true" ht="14.25" hidden="false" customHeight="false" outlineLevel="0" collapsed="false">
      <c r="A729" s="34" t="n">
        <f aca="false">A728+1</f>
        <v>724</v>
      </c>
      <c r="B729" s="35" t="s">
        <v>345</v>
      </c>
      <c r="C729" s="35" t="str">
        <f aca="false">"0003861"</f>
        <v>0003861</v>
      </c>
      <c r="D729" s="37" t="s">
        <v>619</v>
      </c>
      <c r="E729" s="35" t="n">
        <v>2004</v>
      </c>
      <c r="F729" s="38" t="n">
        <v>1146.8</v>
      </c>
      <c r="G729" s="39" t="n">
        <v>1</v>
      </c>
      <c r="H729" s="40" t="n">
        <v>95</v>
      </c>
    </row>
    <row r="730" s="33" customFormat="true" ht="14.25" hidden="false" customHeight="false" outlineLevel="0" collapsed="false">
      <c r="A730" s="34" t="n">
        <f aca="false">A729+1</f>
        <v>725</v>
      </c>
      <c r="B730" s="35" t="s">
        <v>345</v>
      </c>
      <c r="C730" s="35" t="str">
        <f aca="false">"0003862"</f>
        <v>0003862</v>
      </c>
      <c r="D730" s="37" t="s">
        <v>620</v>
      </c>
      <c r="E730" s="35" t="n">
        <v>2004</v>
      </c>
      <c r="F730" s="38" t="n">
        <v>3368</v>
      </c>
      <c r="G730" s="39" t="n">
        <v>1</v>
      </c>
      <c r="H730" s="40" t="n">
        <v>280</v>
      </c>
    </row>
    <row r="731" s="33" customFormat="true" ht="14.25" hidden="false" customHeight="false" outlineLevel="0" collapsed="false">
      <c r="A731" s="34" t="n">
        <f aca="false">A730+1</f>
        <v>726</v>
      </c>
      <c r="B731" s="35" t="s">
        <v>345</v>
      </c>
      <c r="C731" s="35" t="str">
        <f aca="false">"0003863"</f>
        <v>0003863</v>
      </c>
      <c r="D731" s="37" t="s">
        <v>621</v>
      </c>
      <c r="E731" s="35" t="n">
        <v>2004</v>
      </c>
      <c r="F731" s="38" t="n">
        <v>8692.4</v>
      </c>
      <c r="G731" s="39" t="n">
        <v>1</v>
      </c>
      <c r="H731" s="40" t="n">
        <v>730</v>
      </c>
    </row>
    <row r="732" s="33" customFormat="true" ht="14.25" hidden="false" customHeight="false" outlineLevel="0" collapsed="false">
      <c r="A732" s="34" t="n">
        <f aca="false">A731+1</f>
        <v>727</v>
      </c>
      <c r="B732" s="35" t="s">
        <v>345</v>
      </c>
      <c r="C732" s="35" t="str">
        <f aca="false">"0003864"</f>
        <v>0003864</v>
      </c>
      <c r="D732" s="37" t="s">
        <v>622</v>
      </c>
      <c r="E732" s="35" t="n">
        <v>2004</v>
      </c>
      <c r="F732" s="38" t="n">
        <v>8637</v>
      </c>
      <c r="G732" s="39" t="n">
        <v>1</v>
      </c>
      <c r="H732" s="40" t="n">
        <v>720</v>
      </c>
    </row>
    <row r="733" s="33" customFormat="true" ht="14.25" hidden="false" customHeight="false" outlineLevel="0" collapsed="false">
      <c r="A733" s="34" t="n">
        <f aca="false">A732+1</f>
        <v>728</v>
      </c>
      <c r="B733" s="35" t="s">
        <v>345</v>
      </c>
      <c r="C733" s="35" t="str">
        <f aca="false">"0003865"</f>
        <v>0003865</v>
      </c>
      <c r="D733" s="37" t="s">
        <v>623</v>
      </c>
      <c r="E733" s="35" t="n">
        <v>2004</v>
      </c>
      <c r="F733" s="38" t="n">
        <v>17845.4</v>
      </c>
      <c r="G733" s="39" t="n">
        <v>1</v>
      </c>
      <c r="H733" s="40" t="n">
        <v>1485</v>
      </c>
    </row>
    <row r="734" s="33" customFormat="true" ht="14.25" hidden="false" customHeight="false" outlineLevel="0" collapsed="false">
      <c r="A734" s="34" t="n">
        <f aca="false">A733+1</f>
        <v>729</v>
      </c>
      <c r="B734" s="35" t="s">
        <v>345</v>
      </c>
      <c r="C734" s="35" t="str">
        <f aca="false">"0003866"</f>
        <v>0003866</v>
      </c>
      <c r="D734" s="37" t="s">
        <v>624</v>
      </c>
      <c r="E734" s="35" t="n">
        <v>2004</v>
      </c>
      <c r="F734" s="38" t="n">
        <v>20100.85</v>
      </c>
      <c r="G734" s="39" t="n">
        <v>2</v>
      </c>
      <c r="H734" s="40" t="n">
        <v>3340</v>
      </c>
    </row>
    <row r="735" s="33" customFormat="true" ht="14.25" hidden="false" customHeight="false" outlineLevel="0" collapsed="false">
      <c r="A735" s="34" t="n">
        <f aca="false">A734+1</f>
        <v>730</v>
      </c>
      <c r="B735" s="35" t="s">
        <v>345</v>
      </c>
      <c r="C735" s="35" t="str">
        <f aca="false">"0003868"</f>
        <v>0003868</v>
      </c>
      <c r="D735" s="37" t="s">
        <v>625</v>
      </c>
      <c r="E735" s="35" t="n">
        <v>2004</v>
      </c>
      <c r="F735" s="38" t="n">
        <v>7900</v>
      </c>
      <c r="G735" s="39" t="n">
        <v>1</v>
      </c>
      <c r="H735" s="40" t="n">
        <v>660</v>
      </c>
    </row>
    <row r="736" s="33" customFormat="true" ht="14.25" hidden="false" customHeight="false" outlineLevel="0" collapsed="false">
      <c r="A736" s="34" t="n">
        <f aca="false">A735+1</f>
        <v>731</v>
      </c>
      <c r="B736" s="35" t="s">
        <v>345</v>
      </c>
      <c r="C736" s="35" t="str">
        <f aca="false">"0003869"</f>
        <v>0003869</v>
      </c>
      <c r="D736" s="37" t="s">
        <v>626</v>
      </c>
      <c r="E736" s="35" t="n">
        <v>2004</v>
      </c>
      <c r="F736" s="38" t="n">
        <v>1409.1</v>
      </c>
      <c r="G736" s="39" t="n">
        <v>1</v>
      </c>
      <c r="H736" s="40" t="n">
        <v>120</v>
      </c>
    </row>
    <row r="737" s="33" customFormat="true" ht="14.25" hidden="false" customHeight="false" outlineLevel="0" collapsed="false">
      <c r="A737" s="34" t="n">
        <f aca="false">A736+1</f>
        <v>732</v>
      </c>
      <c r="B737" s="35" t="s">
        <v>345</v>
      </c>
      <c r="C737" s="35" t="str">
        <f aca="false">"0003871"</f>
        <v>0003871</v>
      </c>
      <c r="D737" s="37" t="s">
        <v>627</v>
      </c>
      <c r="E737" s="35" t="n">
        <v>2004</v>
      </c>
      <c r="F737" s="38" t="n">
        <v>2846.3</v>
      </c>
      <c r="G737" s="39" t="n">
        <v>1</v>
      </c>
      <c r="H737" s="40" t="n">
        <v>240</v>
      </c>
    </row>
    <row r="738" s="33" customFormat="true" ht="14.25" hidden="false" customHeight="false" outlineLevel="0" collapsed="false">
      <c r="A738" s="34" t="n">
        <f aca="false">A737+1</f>
        <v>733</v>
      </c>
      <c r="B738" s="35" t="s">
        <v>345</v>
      </c>
      <c r="C738" s="35" t="str">
        <f aca="false">"0003872"</f>
        <v>0003872</v>
      </c>
      <c r="D738" s="37" t="s">
        <v>628</v>
      </c>
      <c r="E738" s="35" t="n">
        <v>2004</v>
      </c>
      <c r="F738" s="38" t="n">
        <v>2846.3</v>
      </c>
      <c r="G738" s="39" t="n">
        <v>1</v>
      </c>
      <c r="H738" s="40" t="n">
        <v>240</v>
      </c>
    </row>
    <row r="739" s="33" customFormat="true" ht="14.25" hidden="false" customHeight="false" outlineLevel="0" collapsed="false">
      <c r="A739" s="34" t="n">
        <f aca="false">A738+1</f>
        <v>734</v>
      </c>
      <c r="B739" s="35" t="s">
        <v>345</v>
      </c>
      <c r="C739" s="35" t="str">
        <f aca="false">"0003873"</f>
        <v>0003873</v>
      </c>
      <c r="D739" s="37" t="s">
        <v>629</v>
      </c>
      <c r="E739" s="35" t="n">
        <v>2004</v>
      </c>
      <c r="F739" s="38" t="n">
        <v>2846.3</v>
      </c>
      <c r="G739" s="39" t="n">
        <v>1</v>
      </c>
      <c r="H739" s="40" t="n">
        <v>240</v>
      </c>
    </row>
    <row r="740" s="33" customFormat="true" ht="14.25" hidden="false" customHeight="false" outlineLevel="0" collapsed="false">
      <c r="A740" s="34" t="n">
        <f aca="false">A739+1</f>
        <v>735</v>
      </c>
      <c r="B740" s="35" t="s">
        <v>345</v>
      </c>
      <c r="C740" s="35" t="str">
        <f aca="false">"0003874"</f>
        <v>0003874</v>
      </c>
      <c r="D740" s="37" t="s">
        <v>630</v>
      </c>
      <c r="E740" s="35" t="n">
        <v>2004</v>
      </c>
      <c r="F740" s="38" t="n">
        <v>2846.3</v>
      </c>
      <c r="G740" s="39" t="n">
        <v>2</v>
      </c>
      <c r="H740" s="40" t="n">
        <v>480</v>
      </c>
    </row>
    <row r="741" s="33" customFormat="true" ht="14.25" hidden="false" customHeight="false" outlineLevel="0" collapsed="false">
      <c r="A741" s="34" t="n">
        <f aca="false">A740+1</f>
        <v>736</v>
      </c>
      <c r="B741" s="35" t="s">
        <v>345</v>
      </c>
      <c r="C741" s="35" t="str">
        <f aca="false">"0003876"</f>
        <v>0003876</v>
      </c>
      <c r="D741" s="37" t="s">
        <v>631</v>
      </c>
      <c r="E741" s="35" t="n">
        <v>2004</v>
      </c>
      <c r="F741" s="38" t="n">
        <v>2846.3</v>
      </c>
      <c r="G741" s="39" t="n">
        <v>1</v>
      </c>
      <c r="H741" s="40" t="n">
        <v>240</v>
      </c>
    </row>
    <row r="742" s="33" customFormat="true" ht="14.25" hidden="false" customHeight="false" outlineLevel="0" collapsed="false">
      <c r="A742" s="34" t="n">
        <f aca="false">A741+1</f>
        <v>737</v>
      </c>
      <c r="B742" s="35" t="s">
        <v>345</v>
      </c>
      <c r="C742" s="35" t="str">
        <f aca="false">"0003877"</f>
        <v>0003877</v>
      </c>
      <c r="D742" s="37" t="s">
        <v>632</v>
      </c>
      <c r="E742" s="35" t="n">
        <v>2004</v>
      </c>
      <c r="F742" s="38" t="n">
        <v>1553.9</v>
      </c>
      <c r="G742" s="39" t="n">
        <v>2</v>
      </c>
      <c r="H742" s="40" t="n">
        <v>260</v>
      </c>
    </row>
    <row r="743" s="33" customFormat="true" ht="14.25" hidden="false" customHeight="false" outlineLevel="0" collapsed="false">
      <c r="A743" s="34" t="n">
        <f aca="false">A742+1</f>
        <v>738</v>
      </c>
      <c r="B743" s="35" t="s">
        <v>345</v>
      </c>
      <c r="C743" s="35" t="str">
        <f aca="false">"0003879"</f>
        <v>0003879</v>
      </c>
      <c r="D743" s="37" t="s">
        <v>633</v>
      </c>
      <c r="E743" s="35" t="n">
        <v>2004</v>
      </c>
      <c r="F743" s="38" t="n">
        <v>3248.1</v>
      </c>
      <c r="G743" s="39" t="n">
        <v>1</v>
      </c>
      <c r="H743" s="40" t="n">
        <v>270</v>
      </c>
    </row>
    <row r="744" s="33" customFormat="true" ht="14.25" hidden="false" customHeight="false" outlineLevel="0" collapsed="false">
      <c r="A744" s="34" t="n">
        <f aca="false">A743+1</f>
        <v>739</v>
      </c>
      <c r="B744" s="35" t="s">
        <v>345</v>
      </c>
      <c r="C744" s="35" t="str">
        <f aca="false">"0003880"</f>
        <v>0003880</v>
      </c>
      <c r="D744" s="37" t="s">
        <v>634</v>
      </c>
      <c r="E744" s="35" t="n">
        <v>2004</v>
      </c>
      <c r="F744" s="38" t="n">
        <v>2846.3</v>
      </c>
      <c r="G744" s="39" t="n">
        <v>3</v>
      </c>
      <c r="H744" s="40" t="n">
        <v>720</v>
      </c>
    </row>
    <row r="745" s="33" customFormat="true" ht="14.25" hidden="false" customHeight="false" outlineLevel="0" collapsed="false">
      <c r="A745" s="34" t="n">
        <f aca="false">A744+1</f>
        <v>740</v>
      </c>
      <c r="B745" s="35" t="s">
        <v>345</v>
      </c>
      <c r="C745" s="35" t="str">
        <f aca="false">"0003882"</f>
        <v>0003882</v>
      </c>
      <c r="D745" s="37" t="s">
        <v>627</v>
      </c>
      <c r="E745" s="35" t="n">
        <v>2004</v>
      </c>
      <c r="F745" s="38" t="n">
        <v>2846.3</v>
      </c>
      <c r="G745" s="39" t="n">
        <v>1</v>
      </c>
      <c r="H745" s="40" t="n">
        <v>240</v>
      </c>
    </row>
    <row r="746" s="33" customFormat="true" ht="14.25" hidden="false" customHeight="false" outlineLevel="0" collapsed="false">
      <c r="A746" s="34" t="n">
        <f aca="false">A745+1</f>
        <v>741</v>
      </c>
      <c r="B746" s="35" t="s">
        <v>345</v>
      </c>
      <c r="C746" s="35" t="str">
        <f aca="false">"0003883"</f>
        <v>0003883</v>
      </c>
      <c r="D746" s="37" t="s">
        <v>635</v>
      </c>
      <c r="E746" s="35" t="n">
        <v>2004</v>
      </c>
      <c r="F746" s="38" t="n">
        <v>1419.3</v>
      </c>
      <c r="G746" s="39" t="n">
        <v>1</v>
      </c>
      <c r="H746" s="40" t="n">
        <v>120</v>
      </c>
    </row>
    <row r="747" s="33" customFormat="true" ht="14.25" hidden="false" customHeight="false" outlineLevel="0" collapsed="false">
      <c r="A747" s="34" t="n">
        <f aca="false">A746+1</f>
        <v>742</v>
      </c>
      <c r="B747" s="35" t="s">
        <v>345</v>
      </c>
      <c r="C747" s="35" t="str">
        <f aca="false">"0003884"</f>
        <v>0003884</v>
      </c>
      <c r="D747" s="37" t="s">
        <v>636</v>
      </c>
      <c r="E747" s="35" t="n">
        <v>2004</v>
      </c>
      <c r="F747" s="38" t="n">
        <v>1301.1</v>
      </c>
      <c r="G747" s="39" t="n">
        <v>1</v>
      </c>
      <c r="H747" s="40" t="n">
        <v>110</v>
      </c>
    </row>
    <row r="748" s="33" customFormat="true" ht="14.25" hidden="false" customHeight="false" outlineLevel="0" collapsed="false">
      <c r="A748" s="34" t="n">
        <f aca="false">A747+1</f>
        <v>743</v>
      </c>
      <c r="B748" s="35" t="s">
        <v>345</v>
      </c>
      <c r="C748" s="35" t="str">
        <f aca="false">"0003885"</f>
        <v>0003885</v>
      </c>
      <c r="D748" s="37" t="s">
        <v>637</v>
      </c>
      <c r="E748" s="35" t="n">
        <v>2004</v>
      </c>
      <c r="F748" s="38" t="n">
        <v>2846.3</v>
      </c>
      <c r="G748" s="39" t="n">
        <v>1</v>
      </c>
      <c r="H748" s="40" t="n">
        <v>240</v>
      </c>
    </row>
    <row r="749" s="33" customFormat="true" ht="14.25" hidden="false" customHeight="false" outlineLevel="0" collapsed="false">
      <c r="A749" s="34" t="n">
        <f aca="false">A748+1</f>
        <v>744</v>
      </c>
      <c r="B749" s="35" t="s">
        <v>345</v>
      </c>
      <c r="C749" s="35" t="str">
        <f aca="false">"0003886"</f>
        <v>0003886</v>
      </c>
      <c r="D749" s="37" t="s">
        <v>629</v>
      </c>
      <c r="E749" s="35" t="n">
        <v>2004</v>
      </c>
      <c r="F749" s="38" t="n">
        <v>2846.3</v>
      </c>
      <c r="G749" s="39" t="n">
        <v>1</v>
      </c>
      <c r="H749" s="40" t="n">
        <v>240</v>
      </c>
    </row>
    <row r="750" s="33" customFormat="true" ht="14.25" hidden="false" customHeight="false" outlineLevel="0" collapsed="false">
      <c r="A750" s="34" t="n">
        <f aca="false">A749+1</f>
        <v>745</v>
      </c>
      <c r="B750" s="35" t="s">
        <v>345</v>
      </c>
      <c r="C750" s="35" t="str">
        <f aca="false">"0003888"</f>
        <v>0003888</v>
      </c>
      <c r="D750" s="37" t="s">
        <v>638</v>
      </c>
      <c r="E750" s="35" t="n">
        <v>2004</v>
      </c>
      <c r="F750" s="38" t="n">
        <v>3053</v>
      </c>
      <c r="G750" s="39" t="n">
        <v>1</v>
      </c>
      <c r="H750" s="40" t="n">
        <v>255</v>
      </c>
    </row>
    <row r="751" s="33" customFormat="true" ht="14.25" hidden="false" customHeight="false" outlineLevel="0" collapsed="false">
      <c r="A751" s="34" t="n">
        <f aca="false">A750+1</f>
        <v>746</v>
      </c>
      <c r="B751" s="35" t="s">
        <v>345</v>
      </c>
      <c r="C751" s="35" t="str">
        <f aca="false">"0003889"</f>
        <v>0003889</v>
      </c>
      <c r="D751" s="37" t="s">
        <v>639</v>
      </c>
      <c r="E751" s="35" t="n">
        <v>2004</v>
      </c>
      <c r="F751" s="38" t="n">
        <v>1061.8</v>
      </c>
      <c r="G751" s="39" t="n">
        <v>2</v>
      </c>
      <c r="H751" s="40" t="n">
        <v>180</v>
      </c>
    </row>
    <row r="752" s="33" customFormat="true" ht="14.25" hidden="false" customHeight="false" outlineLevel="0" collapsed="false">
      <c r="A752" s="34" t="n">
        <f aca="false">A751+1</f>
        <v>747</v>
      </c>
      <c r="B752" s="35" t="s">
        <v>345</v>
      </c>
      <c r="C752" s="35" t="str">
        <f aca="false">"0003891"</f>
        <v>0003891</v>
      </c>
      <c r="D752" s="37" t="s">
        <v>640</v>
      </c>
      <c r="E752" s="35" t="n">
        <v>2004</v>
      </c>
      <c r="F752" s="38" t="n">
        <v>1608.5</v>
      </c>
      <c r="G752" s="39" t="n">
        <v>1</v>
      </c>
      <c r="H752" s="40" t="n">
        <v>135</v>
      </c>
    </row>
    <row r="753" s="33" customFormat="true" ht="14.25" hidden="false" customHeight="false" outlineLevel="0" collapsed="false">
      <c r="A753" s="34" t="n">
        <f aca="false">A752+1</f>
        <v>748</v>
      </c>
      <c r="B753" s="35" t="s">
        <v>345</v>
      </c>
      <c r="C753" s="35" t="str">
        <f aca="false">"0003892"</f>
        <v>0003892</v>
      </c>
      <c r="D753" s="37" t="s">
        <v>641</v>
      </c>
      <c r="E753" s="35" t="n">
        <v>2004</v>
      </c>
      <c r="F753" s="38" t="n">
        <v>2276.3</v>
      </c>
      <c r="G753" s="39" t="n">
        <v>3</v>
      </c>
      <c r="H753" s="40" t="n">
        <v>570</v>
      </c>
    </row>
    <row r="754" s="33" customFormat="true" ht="14.25" hidden="false" customHeight="false" outlineLevel="0" collapsed="false">
      <c r="A754" s="34" t="n">
        <f aca="false">A753+1</f>
        <v>749</v>
      </c>
      <c r="B754" s="35" t="s">
        <v>345</v>
      </c>
      <c r="C754" s="35" t="str">
        <f aca="false">"0003898"</f>
        <v>0003898</v>
      </c>
      <c r="D754" s="37" t="s">
        <v>642</v>
      </c>
      <c r="E754" s="35" t="n">
        <v>2004</v>
      </c>
      <c r="F754" s="38" t="n">
        <v>1747.5</v>
      </c>
      <c r="G754" s="39" t="n">
        <v>3</v>
      </c>
      <c r="H754" s="40" t="n">
        <v>435</v>
      </c>
    </row>
    <row r="755" s="33" customFormat="true" ht="14.25" hidden="false" customHeight="false" outlineLevel="0" collapsed="false">
      <c r="A755" s="34" t="n">
        <f aca="false">A754+1</f>
        <v>750</v>
      </c>
      <c r="B755" s="35" t="s">
        <v>345</v>
      </c>
      <c r="C755" s="35" t="str">
        <f aca="false">"0003901"</f>
        <v>0003901</v>
      </c>
      <c r="D755" s="37" t="s">
        <v>643</v>
      </c>
      <c r="E755" s="35" t="n">
        <v>2004</v>
      </c>
      <c r="F755" s="38" t="n">
        <v>1747.5</v>
      </c>
      <c r="G755" s="39" t="n">
        <v>3</v>
      </c>
      <c r="H755" s="40" t="n">
        <v>435</v>
      </c>
    </row>
    <row r="756" s="33" customFormat="true" ht="14.25" hidden="false" customHeight="false" outlineLevel="0" collapsed="false">
      <c r="A756" s="34" t="n">
        <f aca="false">A755+1</f>
        <v>751</v>
      </c>
      <c r="B756" s="35" t="s">
        <v>345</v>
      </c>
      <c r="C756" s="35" t="str">
        <f aca="false">"0003904"</f>
        <v>0003904</v>
      </c>
      <c r="D756" s="37" t="s">
        <v>644</v>
      </c>
      <c r="E756" s="35" t="n">
        <v>2004</v>
      </c>
      <c r="F756" s="38" t="n">
        <v>17845.4</v>
      </c>
      <c r="G756" s="39" t="n">
        <v>1</v>
      </c>
      <c r="H756" s="40" t="n">
        <v>1485</v>
      </c>
    </row>
    <row r="757" s="33" customFormat="true" ht="14.25" hidden="false" customHeight="false" outlineLevel="0" collapsed="false">
      <c r="A757" s="34" t="n">
        <f aca="false">A756+1</f>
        <v>752</v>
      </c>
      <c r="B757" s="35" t="s">
        <v>345</v>
      </c>
      <c r="C757" s="35" t="str">
        <f aca="false">"0003906"</f>
        <v>0003906</v>
      </c>
      <c r="D757" s="37" t="s">
        <v>645</v>
      </c>
      <c r="E757" s="35" t="n">
        <v>2004</v>
      </c>
      <c r="F757" s="38" t="n">
        <v>1343.4</v>
      </c>
      <c r="G757" s="39" t="n">
        <v>3</v>
      </c>
      <c r="H757" s="40" t="n">
        <v>345</v>
      </c>
    </row>
    <row r="758" s="33" customFormat="true" ht="14.25" hidden="false" customHeight="false" outlineLevel="0" collapsed="false">
      <c r="A758" s="34" t="n">
        <f aca="false">A757+1</f>
        <v>753</v>
      </c>
      <c r="B758" s="35" t="s">
        <v>345</v>
      </c>
      <c r="C758" s="35" t="str">
        <f aca="false">"0003913"</f>
        <v>0003913</v>
      </c>
      <c r="D758" s="37" t="s">
        <v>646</v>
      </c>
      <c r="E758" s="35" t="n">
        <v>2004</v>
      </c>
      <c r="F758" s="38" t="n">
        <v>1240.8</v>
      </c>
      <c r="G758" s="39" t="n">
        <v>2</v>
      </c>
      <c r="H758" s="40" t="n">
        <v>210</v>
      </c>
    </row>
    <row r="759" s="33" customFormat="true" ht="14.25" hidden="false" customHeight="false" outlineLevel="0" collapsed="false">
      <c r="A759" s="34" t="n">
        <f aca="false">A758+1</f>
        <v>754</v>
      </c>
      <c r="B759" s="35" t="s">
        <v>345</v>
      </c>
      <c r="C759" s="35" t="str">
        <f aca="false">"0003915"</f>
        <v>0003915</v>
      </c>
      <c r="D759" s="37" t="s">
        <v>647</v>
      </c>
      <c r="E759" s="35" t="n">
        <v>2004</v>
      </c>
      <c r="F759" s="38" t="n">
        <v>2366.43</v>
      </c>
      <c r="G759" s="39" t="n">
        <v>1</v>
      </c>
      <c r="H759" s="40" t="n">
        <v>200</v>
      </c>
    </row>
    <row r="760" s="33" customFormat="true" ht="14.25" hidden="false" customHeight="false" outlineLevel="0" collapsed="false">
      <c r="A760" s="34" t="n">
        <f aca="false">A759+1</f>
        <v>755</v>
      </c>
      <c r="B760" s="35" t="s">
        <v>345</v>
      </c>
      <c r="C760" s="35" t="str">
        <f aca="false">"0003920"</f>
        <v>0003920</v>
      </c>
      <c r="D760" s="37" t="s">
        <v>648</v>
      </c>
      <c r="E760" s="35" t="n">
        <v>2004</v>
      </c>
      <c r="F760" s="38" t="n">
        <v>1306.59</v>
      </c>
      <c r="G760" s="39" t="n">
        <v>2</v>
      </c>
      <c r="H760" s="40" t="n">
        <v>220</v>
      </c>
    </row>
    <row r="761" s="33" customFormat="true" ht="14.25" hidden="false" customHeight="false" outlineLevel="0" collapsed="false">
      <c r="A761" s="34" t="n">
        <f aca="false">A760+1</f>
        <v>756</v>
      </c>
      <c r="B761" s="35" t="s">
        <v>345</v>
      </c>
      <c r="C761" s="35" t="str">
        <f aca="false">"0003923"</f>
        <v>0003923</v>
      </c>
      <c r="D761" s="37" t="s">
        <v>649</v>
      </c>
      <c r="E761" s="35" t="n">
        <v>2004</v>
      </c>
      <c r="F761" s="38" t="n">
        <v>1098.24</v>
      </c>
      <c r="G761" s="39" t="n">
        <v>1</v>
      </c>
      <c r="H761" s="40" t="n">
        <v>90</v>
      </c>
    </row>
    <row r="762" s="33" customFormat="true" ht="14.25" hidden="false" customHeight="false" outlineLevel="0" collapsed="false">
      <c r="A762" s="34" t="n">
        <f aca="false">A761+1</f>
        <v>757</v>
      </c>
      <c r="B762" s="35" t="s">
        <v>345</v>
      </c>
      <c r="C762" s="35" t="str">
        <f aca="false">"0003924"</f>
        <v>0003924</v>
      </c>
      <c r="D762" s="37" t="s">
        <v>650</v>
      </c>
      <c r="E762" s="35" t="n">
        <v>2004</v>
      </c>
      <c r="F762" s="38" t="n">
        <v>1098.24</v>
      </c>
      <c r="G762" s="39" t="n">
        <v>1</v>
      </c>
      <c r="H762" s="40" t="n">
        <v>90</v>
      </c>
    </row>
    <row r="763" s="33" customFormat="true" ht="14.25" hidden="false" customHeight="false" outlineLevel="0" collapsed="false">
      <c r="A763" s="34" t="n">
        <f aca="false">A762+1</f>
        <v>758</v>
      </c>
      <c r="B763" s="35" t="s">
        <v>345</v>
      </c>
      <c r="C763" s="35" t="str">
        <f aca="false">"0003928"</f>
        <v>0003928</v>
      </c>
      <c r="D763" s="37" t="s">
        <v>651</v>
      </c>
      <c r="E763" s="35" t="n">
        <v>2004</v>
      </c>
      <c r="F763" s="38" t="n">
        <v>3248.1</v>
      </c>
      <c r="G763" s="39" t="n">
        <v>1</v>
      </c>
      <c r="H763" s="40" t="n">
        <v>270</v>
      </c>
    </row>
    <row r="764" s="33" customFormat="true" ht="14.25" hidden="false" customHeight="false" outlineLevel="0" collapsed="false">
      <c r="A764" s="34" t="n">
        <f aca="false">A763+1</f>
        <v>759</v>
      </c>
      <c r="B764" s="35" t="s">
        <v>345</v>
      </c>
      <c r="C764" s="35" t="str">
        <f aca="false">"0003929"</f>
        <v>0003929</v>
      </c>
      <c r="D764" s="37" t="s">
        <v>652</v>
      </c>
      <c r="E764" s="35" t="n">
        <v>2004</v>
      </c>
      <c r="F764" s="38" t="n">
        <v>1484</v>
      </c>
      <c r="G764" s="39" t="n">
        <v>1</v>
      </c>
      <c r="H764" s="40" t="n">
        <v>125</v>
      </c>
    </row>
    <row r="765" s="33" customFormat="true" ht="14.25" hidden="false" customHeight="false" outlineLevel="0" collapsed="false">
      <c r="A765" s="34" t="n">
        <f aca="false">A764+1</f>
        <v>760</v>
      </c>
      <c r="B765" s="35" t="s">
        <v>345</v>
      </c>
      <c r="C765" s="35" t="str">
        <f aca="false">"0003931"</f>
        <v>0003931</v>
      </c>
      <c r="D765" s="37" t="s">
        <v>653</v>
      </c>
      <c r="E765" s="35" t="n">
        <v>2004</v>
      </c>
      <c r="F765" s="38" t="n">
        <v>4901</v>
      </c>
      <c r="G765" s="39" t="n">
        <v>1</v>
      </c>
      <c r="H765" s="40" t="n">
        <v>410</v>
      </c>
    </row>
    <row r="766" s="33" customFormat="true" ht="14.25" hidden="false" customHeight="false" outlineLevel="0" collapsed="false">
      <c r="A766" s="34" t="n">
        <f aca="false">A765+1</f>
        <v>761</v>
      </c>
      <c r="B766" s="35" t="s">
        <v>345</v>
      </c>
      <c r="C766" s="35" t="str">
        <f aca="false">"0003932"</f>
        <v>0003932</v>
      </c>
      <c r="D766" s="37" t="s">
        <v>654</v>
      </c>
      <c r="E766" s="35" t="n">
        <v>2004</v>
      </c>
      <c r="F766" s="38" t="n">
        <v>2081.5</v>
      </c>
      <c r="G766" s="39" t="n">
        <v>1</v>
      </c>
      <c r="H766" s="40" t="n">
        <v>175</v>
      </c>
    </row>
    <row r="767" s="33" customFormat="true" ht="14.25" hidden="false" customHeight="false" outlineLevel="0" collapsed="false">
      <c r="A767" s="34" t="n">
        <f aca="false">A766+1</f>
        <v>762</v>
      </c>
      <c r="B767" s="35" t="s">
        <v>345</v>
      </c>
      <c r="C767" s="35" t="str">
        <f aca="false">"0003933"</f>
        <v>0003933</v>
      </c>
      <c r="D767" s="37" t="s">
        <v>655</v>
      </c>
      <c r="E767" s="35" t="n">
        <v>2004</v>
      </c>
      <c r="F767" s="38" t="n">
        <v>1319.7</v>
      </c>
      <c r="G767" s="39" t="n">
        <v>1</v>
      </c>
      <c r="H767" s="40" t="n">
        <v>110</v>
      </c>
    </row>
    <row r="768" s="33" customFormat="true" ht="14.25" hidden="false" customHeight="false" outlineLevel="0" collapsed="false">
      <c r="A768" s="34" t="n">
        <f aca="false">A767+1</f>
        <v>763</v>
      </c>
      <c r="B768" s="35" t="s">
        <v>345</v>
      </c>
      <c r="C768" s="35" t="str">
        <f aca="false">"0003934"</f>
        <v>0003934</v>
      </c>
      <c r="D768" s="37" t="s">
        <v>656</v>
      </c>
      <c r="E768" s="35" t="n">
        <v>2004</v>
      </c>
      <c r="F768" s="38" t="n">
        <v>1056.3</v>
      </c>
      <c r="G768" s="39" t="n">
        <v>2</v>
      </c>
      <c r="H768" s="40" t="n">
        <v>180</v>
      </c>
    </row>
    <row r="769" s="33" customFormat="true" ht="14.25" hidden="false" customHeight="false" outlineLevel="0" collapsed="false">
      <c r="A769" s="34" t="n">
        <f aca="false">A768+1</f>
        <v>764</v>
      </c>
      <c r="B769" s="35" t="s">
        <v>345</v>
      </c>
      <c r="C769" s="35" t="str">
        <f aca="false">"0003942"</f>
        <v>0003942</v>
      </c>
      <c r="D769" s="37" t="s">
        <v>657</v>
      </c>
      <c r="E769" s="35" t="n">
        <v>2004</v>
      </c>
      <c r="F769" s="38" t="n">
        <v>1543</v>
      </c>
      <c r="G769" s="39" t="n">
        <v>3</v>
      </c>
      <c r="H769" s="40" t="n">
        <v>390</v>
      </c>
    </row>
    <row r="770" s="33" customFormat="true" ht="14.25" hidden="false" customHeight="false" outlineLevel="0" collapsed="false">
      <c r="A770" s="34" t="n">
        <f aca="false">A769+1</f>
        <v>765</v>
      </c>
      <c r="B770" s="35" t="s">
        <v>345</v>
      </c>
      <c r="C770" s="35" t="str">
        <f aca="false">"0003945"</f>
        <v>0003945</v>
      </c>
      <c r="D770" s="37" t="s">
        <v>658</v>
      </c>
      <c r="E770" s="35" t="n">
        <v>2004</v>
      </c>
      <c r="F770" s="38" t="n">
        <v>10453.1</v>
      </c>
      <c r="G770" s="39" t="n">
        <v>1</v>
      </c>
      <c r="H770" s="40" t="n">
        <v>870</v>
      </c>
    </row>
    <row r="771" s="33" customFormat="true" ht="14.25" hidden="false" customHeight="false" outlineLevel="0" collapsed="false">
      <c r="A771" s="34" t="n">
        <f aca="false">A770+1</f>
        <v>766</v>
      </c>
      <c r="B771" s="35" t="s">
        <v>345</v>
      </c>
      <c r="C771" s="35" t="str">
        <f aca="false">"0003946"</f>
        <v>0003946</v>
      </c>
      <c r="D771" s="37" t="s">
        <v>659</v>
      </c>
      <c r="E771" s="35" t="n">
        <v>2004</v>
      </c>
      <c r="F771" s="38" t="n">
        <v>6694.8</v>
      </c>
      <c r="G771" s="39" t="n">
        <v>1</v>
      </c>
      <c r="H771" s="40" t="n">
        <v>560</v>
      </c>
    </row>
    <row r="772" s="33" customFormat="true" ht="14.25" hidden="false" customHeight="false" outlineLevel="0" collapsed="false">
      <c r="A772" s="34" t="n">
        <f aca="false">A771+1</f>
        <v>767</v>
      </c>
      <c r="B772" s="35" t="s">
        <v>345</v>
      </c>
      <c r="C772" s="35" t="str">
        <f aca="false">"0003947"</f>
        <v>0003947</v>
      </c>
      <c r="D772" s="37" t="s">
        <v>660</v>
      </c>
      <c r="E772" s="35" t="n">
        <v>2004</v>
      </c>
      <c r="F772" s="38" t="n">
        <v>9360.1</v>
      </c>
      <c r="G772" s="39" t="n">
        <v>1</v>
      </c>
      <c r="H772" s="40" t="n">
        <v>780</v>
      </c>
    </row>
    <row r="773" s="33" customFormat="true" ht="14.25" hidden="false" customHeight="false" outlineLevel="0" collapsed="false">
      <c r="A773" s="34" t="n">
        <f aca="false">A772+1</f>
        <v>768</v>
      </c>
      <c r="B773" s="35" t="s">
        <v>345</v>
      </c>
      <c r="C773" s="35" t="str">
        <f aca="false">"0003948"</f>
        <v>0003948</v>
      </c>
      <c r="D773" s="37" t="s">
        <v>661</v>
      </c>
      <c r="E773" s="35" t="n">
        <v>2004</v>
      </c>
      <c r="F773" s="38" t="n">
        <v>1213</v>
      </c>
      <c r="G773" s="39" t="n">
        <v>2</v>
      </c>
      <c r="H773" s="40" t="n">
        <v>200</v>
      </c>
    </row>
    <row r="774" s="33" customFormat="true" ht="14.25" hidden="false" customHeight="false" outlineLevel="0" collapsed="false">
      <c r="A774" s="34" t="n">
        <f aca="false">A773+1</f>
        <v>769</v>
      </c>
      <c r="B774" s="35" t="s">
        <v>345</v>
      </c>
      <c r="C774" s="35" t="str">
        <f aca="false">"0003950"</f>
        <v>0003950</v>
      </c>
      <c r="D774" s="37" t="s">
        <v>662</v>
      </c>
      <c r="E774" s="35" t="n">
        <v>2004</v>
      </c>
      <c r="F774" s="38" t="n">
        <v>2784.3</v>
      </c>
      <c r="G774" s="39" t="n">
        <v>3</v>
      </c>
      <c r="H774" s="40" t="n">
        <v>690</v>
      </c>
    </row>
    <row r="775" s="33" customFormat="true" ht="14.25" hidden="false" customHeight="false" outlineLevel="0" collapsed="false">
      <c r="A775" s="34" t="n">
        <f aca="false">A774+1</f>
        <v>770</v>
      </c>
      <c r="B775" s="35" t="s">
        <v>345</v>
      </c>
      <c r="C775" s="35" t="str">
        <f aca="false">"0003954"</f>
        <v>0003954</v>
      </c>
      <c r="D775" s="37" t="s">
        <v>663</v>
      </c>
      <c r="E775" s="35" t="n">
        <v>2004</v>
      </c>
      <c r="F775" s="38" t="n">
        <v>9360.1</v>
      </c>
      <c r="G775" s="39" t="n">
        <v>1</v>
      </c>
      <c r="H775" s="40" t="n">
        <v>780</v>
      </c>
    </row>
    <row r="776" s="33" customFormat="true" ht="14.25" hidden="false" customHeight="false" outlineLevel="0" collapsed="false">
      <c r="A776" s="34" t="n">
        <f aca="false">A775+1</f>
        <v>771</v>
      </c>
      <c r="B776" s="35" t="s">
        <v>345</v>
      </c>
      <c r="C776" s="35" t="str">
        <f aca="false">"0003955"</f>
        <v>0003955</v>
      </c>
      <c r="D776" s="37" t="s">
        <v>664</v>
      </c>
      <c r="E776" s="35" t="n">
        <v>2004</v>
      </c>
      <c r="F776" s="38" t="n">
        <v>1572.93</v>
      </c>
      <c r="G776" s="39" t="n">
        <v>6</v>
      </c>
      <c r="H776" s="40" t="n">
        <v>780</v>
      </c>
    </row>
    <row r="777" s="33" customFormat="true" ht="14.25" hidden="false" customHeight="false" outlineLevel="0" collapsed="false">
      <c r="A777" s="34" t="n">
        <f aca="false">A776+1</f>
        <v>772</v>
      </c>
      <c r="B777" s="35" t="s">
        <v>345</v>
      </c>
      <c r="C777" s="35" t="str">
        <f aca="false">"0003964"</f>
        <v>0003964</v>
      </c>
      <c r="D777" s="37" t="s">
        <v>665</v>
      </c>
      <c r="E777" s="35" t="n">
        <v>2004</v>
      </c>
      <c r="F777" s="38" t="n">
        <v>1729.3</v>
      </c>
      <c r="G777" s="39" t="n">
        <v>1</v>
      </c>
      <c r="H777" s="40" t="n">
        <v>145</v>
      </c>
    </row>
    <row r="778" s="33" customFormat="true" ht="14.25" hidden="false" customHeight="false" outlineLevel="0" collapsed="false">
      <c r="A778" s="34" t="n">
        <f aca="false">A777+1</f>
        <v>773</v>
      </c>
      <c r="B778" s="35" t="s">
        <v>345</v>
      </c>
      <c r="C778" s="35" t="str">
        <f aca="false">"0003965"</f>
        <v>0003965</v>
      </c>
      <c r="D778" s="37" t="s">
        <v>666</v>
      </c>
      <c r="E778" s="35" t="n">
        <v>2004</v>
      </c>
      <c r="F778" s="38" t="n">
        <v>1363.3</v>
      </c>
      <c r="G778" s="39" t="n">
        <v>1</v>
      </c>
      <c r="H778" s="40" t="n">
        <v>115</v>
      </c>
    </row>
    <row r="779" s="33" customFormat="true" ht="14.25" hidden="false" customHeight="false" outlineLevel="0" collapsed="false">
      <c r="A779" s="34" t="n">
        <f aca="false">A778+1</f>
        <v>774</v>
      </c>
      <c r="B779" s="35" t="s">
        <v>345</v>
      </c>
      <c r="C779" s="35" t="str">
        <f aca="false">"0003966"</f>
        <v>0003966</v>
      </c>
      <c r="D779" s="37" t="s">
        <v>667</v>
      </c>
      <c r="E779" s="35" t="n">
        <v>2004</v>
      </c>
      <c r="F779" s="38" t="n">
        <v>1363.3</v>
      </c>
      <c r="G779" s="39" t="n">
        <v>1</v>
      </c>
      <c r="H779" s="40" t="n">
        <v>115</v>
      </c>
    </row>
    <row r="780" s="33" customFormat="true" ht="14.25" hidden="false" customHeight="false" outlineLevel="0" collapsed="false">
      <c r="A780" s="34" t="n">
        <f aca="false">A779+1</f>
        <v>775</v>
      </c>
      <c r="B780" s="35" t="s">
        <v>345</v>
      </c>
      <c r="C780" s="35" t="str">
        <f aca="false">"0003967"</f>
        <v>0003967</v>
      </c>
      <c r="D780" s="37" t="s">
        <v>668</v>
      </c>
      <c r="E780" s="35" t="n">
        <v>2004</v>
      </c>
      <c r="F780" s="38" t="n">
        <v>1944.4</v>
      </c>
      <c r="G780" s="39" t="n">
        <v>1</v>
      </c>
      <c r="H780" s="40" t="n">
        <v>160</v>
      </c>
    </row>
    <row r="781" s="33" customFormat="true" ht="14.25" hidden="false" customHeight="false" outlineLevel="0" collapsed="false">
      <c r="A781" s="34" t="n">
        <f aca="false">A780+1</f>
        <v>776</v>
      </c>
      <c r="B781" s="35" t="s">
        <v>345</v>
      </c>
      <c r="C781" s="35" t="str">
        <f aca="false">"0004109"</f>
        <v>0004109</v>
      </c>
      <c r="D781" s="37" t="s">
        <v>669</v>
      </c>
      <c r="E781" s="35" t="n">
        <v>2004</v>
      </c>
      <c r="F781" s="38" t="n">
        <v>1683.5</v>
      </c>
      <c r="G781" s="39" t="n">
        <v>1</v>
      </c>
      <c r="H781" s="40" t="n">
        <v>140</v>
      </c>
    </row>
    <row r="782" s="33" customFormat="true" ht="14.25" hidden="false" customHeight="false" outlineLevel="0" collapsed="false">
      <c r="A782" s="34" t="n">
        <f aca="false">A781+1</f>
        <v>777</v>
      </c>
      <c r="B782" s="35" t="s">
        <v>345</v>
      </c>
      <c r="C782" s="35" t="str">
        <f aca="false">"0004110"</f>
        <v>0004110</v>
      </c>
      <c r="D782" s="37" t="s">
        <v>670</v>
      </c>
      <c r="E782" s="35" t="n">
        <v>2004</v>
      </c>
      <c r="F782" s="38" t="n">
        <v>1686.7</v>
      </c>
      <c r="G782" s="39" t="n">
        <v>1</v>
      </c>
      <c r="H782" s="40" t="n">
        <v>140</v>
      </c>
    </row>
    <row r="783" s="33" customFormat="true" ht="14.25" hidden="false" customHeight="false" outlineLevel="0" collapsed="false">
      <c r="A783" s="34" t="n">
        <f aca="false">A782+1</f>
        <v>778</v>
      </c>
      <c r="B783" s="35" t="s">
        <v>345</v>
      </c>
      <c r="C783" s="35" t="str">
        <f aca="false">"0004111"</f>
        <v>0004111</v>
      </c>
      <c r="D783" s="37" t="s">
        <v>671</v>
      </c>
      <c r="E783" s="35" t="n">
        <v>2004</v>
      </c>
      <c r="F783" s="38" t="n">
        <v>1242.6</v>
      </c>
      <c r="G783" s="39" t="n">
        <v>1</v>
      </c>
      <c r="H783" s="40" t="n">
        <v>105</v>
      </c>
    </row>
    <row r="784" s="33" customFormat="true" ht="14.25" hidden="false" customHeight="false" outlineLevel="0" collapsed="false">
      <c r="A784" s="34" t="n">
        <f aca="false">A783+1</f>
        <v>779</v>
      </c>
      <c r="B784" s="35" t="s">
        <v>345</v>
      </c>
      <c r="C784" s="35" t="str">
        <f aca="false">"0004112"</f>
        <v>0004112</v>
      </c>
      <c r="D784" s="37" t="s">
        <v>672</v>
      </c>
      <c r="E784" s="35" t="n">
        <v>2004</v>
      </c>
      <c r="F784" s="38" t="n">
        <v>6550</v>
      </c>
      <c r="G784" s="39" t="n">
        <v>1</v>
      </c>
      <c r="H784" s="40" t="n">
        <v>545</v>
      </c>
    </row>
    <row r="785" s="33" customFormat="true" ht="14.25" hidden="false" customHeight="false" outlineLevel="0" collapsed="false">
      <c r="A785" s="34" t="n">
        <f aca="false">A784+1</f>
        <v>780</v>
      </c>
      <c r="B785" s="35" t="s">
        <v>345</v>
      </c>
      <c r="C785" s="35" t="str">
        <f aca="false">"0004126"</f>
        <v>0004126</v>
      </c>
      <c r="D785" s="37" t="s">
        <v>673</v>
      </c>
      <c r="E785" s="35" t="n">
        <v>2004</v>
      </c>
      <c r="F785" s="38" t="n">
        <v>2846.3</v>
      </c>
      <c r="G785" s="39" t="n">
        <v>1</v>
      </c>
      <c r="H785" s="40" t="n">
        <v>240</v>
      </c>
    </row>
    <row r="786" s="33" customFormat="true" ht="14.25" hidden="false" customHeight="false" outlineLevel="0" collapsed="false">
      <c r="A786" s="34" t="n">
        <f aca="false">A785+1</f>
        <v>781</v>
      </c>
      <c r="B786" s="35" t="s">
        <v>345</v>
      </c>
      <c r="C786" s="35" t="str">
        <f aca="false">"0004129"</f>
        <v>0004129</v>
      </c>
      <c r="D786" s="37" t="s">
        <v>674</v>
      </c>
      <c r="E786" s="35" t="n">
        <v>2004</v>
      </c>
      <c r="F786" s="38" t="n">
        <v>1975</v>
      </c>
      <c r="G786" s="39" t="n">
        <v>1</v>
      </c>
      <c r="H786" s="40" t="n">
        <v>165</v>
      </c>
    </row>
    <row r="787" s="33" customFormat="true" ht="14.25" hidden="false" customHeight="false" outlineLevel="0" collapsed="false">
      <c r="A787" s="34" t="n">
        <f aca="false">A786+1</f>
        <v>782</v>
      </c>
      <c r="B787" s="35" t="s">
        <v>345</v>
      </c>
      <c r="C787" s="35" t="str">
        <f aca="false">"0004130"</f>
        <v>0004130</v>
      </c>
      <c r="D787" s="37" t="s">
        <v>671</v>
      </c>
      <c r="E787" s="35" t="n">
        <v>2004</v>
      </c>
      <c r="F787" s="38" t="n">
        <v>1704.2</v>
      </c>
      <c r="G787" s="39" t="n">
        <v>1</v>
      </c>
      <c r="H787" s="40" t="n">
        <v>140</v>
      </c>
    </row>
    <row r="788" s="33" customFormat="true" ht="14.25" hidden="false" customHeight="false" outlineLevel="0" collapsed="false">
      <c r="A788" s="34" t="n">
        <f aca="false">A787+1</f>
        <v>783</v>
      </c>
      <c r="B788" s="35" t="s">
        <v>345</v>
      </c>
      <c r="C788" s="35" t="str">
        <f aca="false">"0004131"</f>
        <v>0004131</v>
      </c>
      <c r="D788" s="37" t="s">
        <v>675</v>
      </c>
      <c r="E788" s="35" t="n">
        <v>2004</v>
      </c>
      <c r="F788" s="38" t="n">
        <v>10838.72</v>
      </c>
      <c r="G788" s="39" t="n">
        <v>1</v>
      </c>
      <c r="H788" s="40" t="n">
        <v>900</v>
      </c>
    </row>
    <row r="789" s="33" customFormat="true" ht="14.25" hidden="false" customHeight="false" outlineLevel="0" collapsed="false">
      <c r="A789" s="46" t="n">
        <f aca="false">A788+1</f>
        <v>784</v>
      </c>
      <c r="B789" s="35" t="s">
        <v>345</v>
      </c>
      <c r="C789" s="35" t="str">
        <f aca="false">"0004132"</f>
        <v>0004132</v>
      </c>
      <c r="D789" s="37" t="s">
        <v>676</v>
      </c>
      <c r="E789" s="35" t="n">
        <v>2004</v>
      </c>
      <c r="F789" s="38" t="n">
        <v>13950</v>
      </c>
      <c r="G789" s="39" t="n">
        <v>2</v>
      </c>
      <c r="H789" s="40" t="n">
        <v>2400</v>
      </c>
    </row>
    <row r="790" s="33" customFormat="true" ht="14.25" hidden="false" customHeight="false" outlineLevel="0" collapsed="false">
      <c r="A790" s="34" t="n">
        <f aca="false">A789+1</f>
        <v>785</v>
      </c>
      <c r="B790" s="35" t="s">
        <v>345</v>
      </c>
      <c r="C790" s="35" t="str">
        <f aca="false">"0004134"</f>
        <v>0004134</v>
      </c>
      <c r="D790" s="37" t="s">
        <v>677</v>
      </c>
      <c r="E790" s="35" t="n">
        <v>2004</v>
      </c>
      <c r="F790" s="38" t="n">
        <v>18500</v>
      </c>
      <c r="G790" s="39" t="n">
        <v>2</v>
      </c>
      <c r="H790" s="40" t="n">
        <v>3080</v>
      </c>
    </row>
    <row r="791" s="33" customFormat="true" ht="14.25" hidden="false" customHeight="false" outlineLevel="0" collapsed="false">
      <c r="A791" s="34" t="n">
        <f aca="false">A790+1</f>
        <v>786</v>
      </c>
      <c r="B791" s="35" t="s">
        <v>345</v>
      </c>
      <c r="C791" s="35" t="str">
        <f aca="false">"0004153"</f>
        <v>0004153</v>
      </c>
      <c r="D791" s="37" t="s">
        <v>678</v>
      </c>
      <c r="E791" s="35" t="n">
        <v>2004</v>
      </c>
      <c r="F791" s="38" t="n">
        <v>1367.18</v>
      </c>
      <c r="G791" s="39" t="n">
        <v>1</v>
      </c>
      <c r="H791" s="40" t="n">
        <v>115</v>
      </c>
    </row>
    <row r="792" s="33" customFormat="true" ht="14.25" hidden="false" customHeight="false" outlineLevel="0" collapsed="false">
      <c r="A792" s="34" t="n">
        <f aca="false">A791+1</f>
        <v>787</v>
      </c>
      <c r="B792" s="35" t="s">
        <v>345</v>
      </c>
      <c r="C792" s="35" t="str">
        <f aca="false">"0004155"</f>
        <v>0004155</v>
      </c>
      <c r="D792" s="37" t="s">
        <v>679</v>
      </c>
      <c r="E792" s="35" t="n">
        <v>2004</v>
      </c>
      <c r="F792" s="38" t="n">
        <v>6626.88</v>
      </c>
      <c r="G792" s="39" t="n">
        <v>1</v>
      </c>
      <c r="H792" s="40" t="n">
        <v>550</v>
      </c>
    </row>
    <row r="793" s="33" customFormat="true" ht="14.25" hidden="false" customHeight="false" outlineLevel="0" collapsed="false">
      <c r="A793" s="34" t="n">
        <f aca="false">A792+1</f>
        <v>788</v>
      </c>
      <c r="B793" s="35" t="s">
        <v>345</v>
      </c>
      <c r="C793" s="35" t="str">
        <f aca="false">"0004156"</f>
        <v>0004156</v>
      </c>
      <c r="D793" s="37" t="s">
        <v>680</v>
      </c>
      <c r="E793" s="35" t="n">
        <v>2004</v>
      </c>
      <c r="F793" s="38" t="n">
        <v>8411.52</v>
      </c>
      <c r="G793" s="39" t="n">
        <v>1</v>
      </c>
      <c r="H793" s="40" t="n">
        <v>700</v>
      </c>
    </row>
    <row r="794" s="33" customFormat="true" ht="14.25" hidden="false" customHeight="false" outlineLevel="0" collapsed="false">
      <c r="A794" s="34" t="n">
        <f aca="false">A793+1</f>
        <v>789</v>
      </c>
      <c r="B794" s="35" t="s">
        <v>345</v>
      </c>
      <c r="C794" s="35" t="str">
        <f aca="false">"0004165"</f>
        <v>0004165</v>
      </c>
      <c r="D794" s="37" t="s">
        <v>681</v>
      </c>
      <c r="E794" s="35" t="n">
        <v>2004</v>
      </c>
      <c r="F794" s="38" t="n">
        <v>1085.7</v>
      </c>
      <c r="G794" s="39" t="n">
        <v>1</v>
      </c>
      <c r="H794" s="40" t="n">
        <v>90</v>
      </c>
    </row>
    <row r="795" s="33" customFormat="true" ht="14.25" hidden="false" customHeight="false" outlineLevel="0" collapsed="false">
      <c r="A795" s="34" t="n">
        <f aca="false">A794+1</f>
        <v>790</v>
      </c>
      <c r="B795" s="35" t="s">
        <v>345</v>
      </c>
      <c r="C795" s="35" t="str">
        <f aca="false">"0004166"</f>
        <v>0004166</v>
      </c>
      <c r="D795" s="37" t="s">
        <v>682</v>
      </c>
      <c r="E795" s="35" t="n">
        <v>2004</v>
      </c>
      <c r="F795" s="38" t="n">
        <v>3386.8</v>
      </c>
      <c r="G795" s="39" t="n">
        <v>1</v>
      </c>
      <c r="H795" s="40" t="n">
        <v>280</v>
      </c>
    </row>
    <row r="796" s="33" customFormat="true" ht="14.25" hidden="false" customHeight="false" outlineLevel="0" collapsed="false">
      <c r="A796" s="34" t="n">
        <f aca="false">A795+1</f>
        <v>791</v>
      </c>
      <c r="B796" s="35" t="s">
        <v>345</v>
      </c>
      <c r="C796" s="35" t="str">
        <f aca="false">"0004167"</f>
        <v>0004167</v>
      </c>
      <c r="D796" s="37" t="s">
        <v>683</v>
      </c>
      <c r="E796" s="35" t="n">
        <v>2004</v>
      </c>
      <c r="F796" s="38" t="n">
        <v>1326.5</v>
      </c>
      <c r="G796" s="39" t="n">
        <v>1</v>
      </c>
      <c r="H796" s="40" t="n">
        <v>110</v>
      </c>
    </row>
    <row r="797" s="33" customFormat="true" ht="14.25" hidden="false" customHeight="false" outlineLevel="0" collapsed="false">
      <c r="A797" s="34" t="n">
        <f aca="false">A796+1</f>
        <v>792</v>
      </c>
      <c r="B797" s="35" t="s">
        <v>345</v>
      </c>
      <c r="C797" s="35" t="str">
        <f aca="false">"0004233"</f>
        <v>0004233</v>
      </c>
      <c r="D797" s="37" t="s">
        <v>684</v>
      </c>
      <c r="E797" s="35" t="n">
        <v>2004</v>
      </c>
      <c r="F797" s="38" t="n">
        <v>1798</v>
      </c>
      <c r="G797" s="39" t="n">
        <v>1</v>
      </c>
      <c r="H797" s="40" t="n">
        <v>150</v>
      </c>
    </row>
    <row r="798" s="33" customFormat="true" ht="14.25" hidden="false" customHeight="false" outlineLevel="0" collapsed="false">
      <c r="A798" s="34" t="n">
        <f aca="false">A797+1</f>
        <v>793</v>
      </c>
      <c r="B798" s="35" t="s">
        <v>345</v>
      </c>
      <c r="C798" s="35" t="str">
        <f aca="false">"0004235"</f>
        <v>0004235</v>
      </c>
      <c r="D798" s="37" t="s">
        <v>685</v>
      </c>
      <c r="E798" s="35" t="n">
        <v>2004</v>
      </c>
      <c r="F798" s="38" t="n">
        <v>17700</v>
      </c>
      <c r="G798" s="39" t="n">
        <v>1</v>
      </c>
      <c r="H798" s="40" t="n">
        <v>1475</v>
      </c>
    </row>
    <row r="799" s="33" customFormat="true" ht="14.25" hidden="false" customHeight="false" outlineLevel="0" collapsed="false">
      <c r="A799" s="34" t="n">
        <f aca="false">A798+1</f>
        <v>794</v>
      </c>
      <c r="B799" s="35" t="s">
        <v>345</v>
      </c>
      <c r="C799" s="35" t="str">
        <f aca="false">"0004236"</f>
        <v>0004236</v>
      </c>
      <c r="D799" s="37" t="s">
        <v>686</v>
      </c>
      <c r="E799" s="35" t="n">
        <v>2004</v>
      </c>
      <c r="F799" s="38" t="n">
        <v>1218.2</v>
      </c>
      <c r="G799" s="39" t="n">
        <v>1</v>
      </c>
      <c r="H799" s="40" t="n">
        <v>100</v>
      </c>
    </row>
    <row r="800" s="33" customFormat="true" ht="14.25" hidden="false" customHeight="false" outlineLevel="0" collapsed="false">
      <c r="A800" s="34" t="n">
        <f aca="false">A799+1</f>
        <v>795</v>
      </c>
      <c r="B800" s="35" t="s">
        <v>345</v>
      </c>
      <c r="C800" s="35" t="str">
        <f aca="false">"0004237"</f>
        <v>0004237</v>
      </c>
      <c r="D800" s="37" t="s">
        <v>687</v>
      </c>
      <c r="E800" s="35" t="n">
        <v>2004</v>
      </c>
      <c r="F800" s="38" t="n">
        <v>4979.55</v>
      </c>
      <c r="G800" s="39" t="n">
        <v>2</v>
      </c>
      <c r="H800" s="40" t="n">
        <v>640</v>
      </c>
    </row>
    <row r="801" s="33" customFormat="true" ht="14.25" hidden="false" customHeight="false" outlineLevel="0" collapsed="false">
      <c r="A801" s="34" t="n">
        <f aca="false">A800+1</f>
        <v>796</v>
      </c>
      <c r="B801" s="35" t="s">
        <v>345</v>
      </c>
      <c r="C801" s="35" t="str">
        <f aca="false">"0004239"</f>
        <v>0004239</v>
      </c>
      <c r="D801" s="37" t="s">
        <v>688</v>
      </c>
      <c r="E801" s="35" t="n">
        <v>2004</v>
      </c>
      <c r="F801" s="38" t="n">
        <v>2923</v>
      </c>
      <c r="G801" s="39" t="n">
        <v>1</v>
      </c>
      <c r="H801" s="40" t="n">
        <v>245</v>
      </c>
    </row>
    <row r="802" s="33" customFormat="true" ht="14.25" hidden="false" customHeight="false" outlineLevel="0" collapsed="false">
      <c r="A802" s="34" t="n">
        <f aca="false">A801+1</f>
        <v>797</v>
      </c>
      <c r="B802" s="35" t="s">
        <v>345</v>
      </c>
      <c r="C802" s="35" t="str">
        <f aca="false">"0004240"</f>
        <v>0004240</v>
      </c>
      <c r="D802" s="37" t="s">
        <v>689</v>
      </c>
      <c r="E802" s="35" t="n">
        <v>2004</v>
      </c>
      <c r="F802" s="38" t="n">
        <v>2699.4</v>
      </c>
      <c r="G802" s="39" t="n">
        <v>5</v>
      </c>
      <c r="H802" s="40" t="n">
        <v>1125</v>
      </c>
    </row>
    <row r="803" s="33" customFormat="true" ht="14.25" hidden="false" customHeight="false" outlineLevel="0" collapsed="false">
      <c r="A803" s="34" t="n">
        <f aca="false">A802+1</f>
        <v>798</v>
      </c>
      <c r="B803" s="35" t="s">
        <v>345</v>
      </c>
      <c r="C803" s="35" t="str">
        <f aca="false">"0004245"</f>
        <v>0004245</v>
      </c>
      <c r="D803" s="37" t="s">
        <v>690</v>
      </c>
      <c r="E803" s="35" t="n">
        <v>2004</v>
      </c>
      <c r="F803" s="38" t="n">
        <v>19410</v>
      </c>
      <c r="G803" s="39" t="n">
        <v>1</v>
      </c>
      <c r="H803" s="40" t="n">
        <v>1615</v>
      </c>
    </row>
    <row r="804" s="33" customFormat="true" ht="14.25" hidden="false" customHeight="false" outlineLevel="0" collapsed="false">
      <c r="A804" s="34" t="n">
        <f aca="false">A803+1</f>
        <v>799</v>
      </c>
      <c r="B804" s="35" t="s">
        <v>345</v>
      </c>
      <c r="C804" s="35" t="str">
        <f aca="false">"0004246"</f>
        <v>0004246</v>
      </c>
      <c r="D804" s="37" t="s">
        <v>691</v>
      </c>
      <c r="E804" s="35" t="n">
        <v>2004</v>
      </c>
      <c r="F804" s="38" t="n">
        <v>2291.2</v>
      </c>
      <c r="G804" s="39" t="n">
        <v>1</v>
      </c>
      <c r="H804" s="40" t="n">
        <v>190</v>
      </c>
    </row>
    <row r="805" s="33" customFormat="true" ht="14.25" hidden="false" customHeight="false" outlineLevel="0" collapsed="false">
      <c r="A805" s="34" t="n">
        <f aca="false">A804+1</f>
        <v>800</v>
      </c>
      <c r="B805" s="35" t="s">
        <v>345</v>
      </c>
      <c r="C805" s="35" t="str">
        <f aca="false">"0004247"</f>
        <v>0004247</v>
      </c>
      <c r="D805" s="37" t="s">
        <v>692</v>
      </c>
      <c r="E805" s="35" t="n">
        <v>2004</v>
      </c>
      <c r="F805" s="38" t="n">
        <v>2168</v>
      </c>
      <c r="G805" s="39" t="n">
        <v>1</v>
      </c>
      <c r="H805" s="40" t="n">
        <v>180</v>
      </c>
    </row>
    <row r="806" s="33" customFormat="true" ht="14.25" hidden="false" customHeight="false" outlineLevel="0" collapsed="false">
      <c r="A806" s="34" t="n">
        <f aca="false">A805+1</f>
        <v>801</v>
      </c>
      <c r="B806" s="35" t="s">
        <v>345</v>
      </c>
      <c r="C806" s="35" t="str">
        <f aca="false">"0004248"</f>
        <v>0004248</v>
      </c>
      <c r="D806" s="37" t="s">
        <v>693</v>
      </c>
      <c r="E806" s="35" t="n">
        <v>2004</v>
      </c>
      <c r="F806" s="38" t="n">
        <v>5964</v>
      </c>
      <c r="G806" s="39" t="n">
        <v>1</v>
      </c>
      <c r="H806" s="40" t="n">
        <v>385</v>
      </c>
    </row>
    <row r="807" s="33" customFormat="true" ht="14.25" hidden="false" customHeight="false" outlineLevel="0" collapsed="false">
      <c r="A807" s="34" t="n">
        <f aca="false">A806+1</f>
        <v>802</v>
      </c>
      <c r="B807" s="35" t="s">
        <v>345</v>
      </c>
      <c r="C807" s="35" t="str">
        <f aca="false">"0004249"</f>
        <v>0004249</v>
      </c>
      <c r="D807" s="37" t="s">
        <v>694</v>
      </c>
      <c r="E807" s="35" t="n">
        <v>2004</v>
      </c>
      <c r="F807" s="38" t="n">
        <v>11270</v>
      </c>
      <c r="G807" s="39" t="n">
        <v>1</v>
      </c>
      <c r="H807" s="40" t="n">
        <v>940</v>
      </c>
    </row>
    <row r="808" s="33" customFormat="true" ht="14.25" hidden="false" customHeight="false" outlineLevel="0" collapsed="false">
      <c r="A808" s="34" t="n">
        <f aca="false">A807+1</f>
        <v>803</v>
      </c>
      <c r="B808" s="35" t="s">
        <v>345</v>
      </c>
      <c r="C808" s="35" t="str">
        <f aca="false">"0004250"</f>
        <v>0004250</v>
      </c>
      <c r="D808" s="37" t="s">
        <v>695</v>
      </c>
      <c r="E808" s="35" t="n">
        <v>2004</v>
      </c>
      <c r="F808" s="38" t="n">
        <v>1890</v>
      </c>
      <c r="G808" s="39" t="n">
        <v>1</v>
      </c>
      <c r="H808" s="40" t="n">
        <v>120</v>
      </c>
    </row>
    <row r="809" s="33" customFormat="true" ht="14.25" hidden="false" customHeight="false" outlineLevel="0" collapsed="false">
      <c r="A809" s="34" t="n">
        <f aca="false">A808+1</f>
        <v>804</v>
      </c>
      <c r="B809" s="35" t="s">
        <v>345</v>
      </c>
      <c r="C809" s="35" t="str">
        <f aca="false">"0004251"</f>
        <v>0004251</v>
      </c>
      <c r="D809" s="37" t="s">
        <v>696</v>
      </c>
      <c r="E809" s="35" t="n">
        <v>2004</v>
      </c>
      <c r="F809" s="38" t="n">
        <v>2300</v>
      </c>
      <c r="G809" s="39" t="n">
        <v>1</v>
      </c>
      <c r="H809" s="40" t="n">
        <v>150</v>
      </c>
    </row>
    <row r="810" s="33" customFormat="true" ht="14.25" hidden="false" customHeight="false" outlineLevel="0" collapsed="false">
      <c r="A810" s="34" t="n">
        <f aca="false">A809+1</f>
        <v>805</v>
      </c>
      <c r="B810" s="35" t="s">
        <v>345</v>
      </c>
      <c r="C810" s="35" t="str">
        <f aca="false">"0004252"</f>
        <v>0004252</v>
      </c>
      <c r="D810" s="37" t="s">
        <v>697</v>
      </c>
      <c r="E810" s="35" t="n">
        <v>2004</v>
      </c>
      <c r="F810" s="38" t="n">
        <v>3340.22</v>
      </c>
      <c r="G810" s="39" t="n">
        <v>2</v>
      </c>
      <c r="H810" s="40" t="n">
        <v>560</v>
      </c>
    </row>
    <row r="811" s="33" customFormat="true" ht="14.25" hidden="false" customHeight="false" outlineLevel="0" collapsed="false">
      <c r="A811" s="34" t="n">
        <f aca="false">A810+1</f>
        <v>806</v>
      </c>
      <c r="B811" s="35" t="s">
        <v>345</v>
      </c>
      <c r="C811" s="35" t="str">
        <f aca="false">"0004254"</f>
        <v>0004254</v>
      </c>
      <c r="D811" s="37" t="s">
        <v>698</v>
      </c>
      <c r="E811" s="35" t="n">
        <v>2004</v>
      </c>
      <c r="F811" s="38" t="n">
        <v>3776.13</v>
      </c>
      <c r="G811" s="39" t="n">
        <v>1</v>
      </c>
      <c r="H811" s="40" t="n">
        <v>315</v>
      </c>
    </row>
    <row r="812" s="33" customFormat="true" ht="14.25" hidden="false" customHeight="false" outlineLevel="0" collapsed="false">
      <c r="A812" s="34" t="n">
        <f aca="false">A811+1</f>
        <v>807</v>
      </c>
      <c r="B812" s="35" t="s">
        <v>345</v>
      </c>
      <c r="C812" s="35" t="str">
        <f aca="false">"0004255"</f>
        <v>0004255</v>
      </c>
      <c r="D812" s="37" t="s">
        <v>699</v>
      </c>
      <c r="E812" s="35" t="n">
        <v>2004</v>
      </c>
      <c r="F812" s="38" t="n">
        <v>12198.5</v>
      </c>
      <c r="G812" s="39" t="n">
        <v>1</v>
      </c>
      <c r="H812" s="40" t="n">
        <v>1015</v>
      </c>
    </row>
    <row r="813" s="33" customFormat="true" ht="14.25" hidden="false" customHeight="false" outlineLevel="0" collapsed="false">
      <c r="A813" s="34" t="n">
        <f aca="false">A812+1</f>
        <v>808</v>
      </c>
      <c r="B813" s="35" t="s">
        <v>345</v>
      </c>
      <c r="C813" s="35" t="str">
        <f aca="false">"0004256"</f>
        <v>0004256</v>
      </c>
      <c r="D813" s="37" t="s">
        <v>700</v>
      </c>
      <c r="E813" s="35" t="n">
        <v>2004</v>
      </c>
      <c r="F813" s="38" t="n">
        <v>12461.4</v>
      </c>
      <c r="G813" s="39" t="n">
        <v>1</v>
      </c>
      <c r="H813" s="40" t="n">
        <v>1040</v>
      </c>
    </row>
    <row r="814" s="33" customFormat="true" ht="14.25" hidden="false" customHeight="false" outlineLevel="0" collapsed="false">
      <c r="A814" s="34" t="n">
        <f aca="false">A813+1</f>
        <v>809</v>
      </c>
      <c r="B814" s="35" t="s">
        <v>345</v>
      </c>
      <c r="C814" s="35" t="str">
        <f aca="false">"0004313"</f>
        <v>0004313</v>
      </c>
      <c r="D814" s="37" t="s">
        <v>701</v>
      </c>
      <c r="E814" s="35" t="n">
        <v>2004</v>
      </c>
      <c r="F814" s="38" t="n">
        <v>12256.14</v>
      </c>
      <c r="G814" s="39" t="n">
        <v>1</v>
      </c>
      <c r="H814" s="40" t="n">
        <v>1020</v>
      </c>
    </row>
    <row r="815" s="33" customFormat="true" ht="14.25" hidden="false" customHeight="false" outlineLevel="0" collapsed="false">
      <c r="A815" s="34" t="n">
        <f aca="false">A814+1</f>
        <v>810</v>
      </c>
      <c r="B815" s="35" t="s">
        <v>345</v>
      </c>
      <c r="C815" s="35" t="str">
        <f aca="false">"0004314"</f>
        <v>0004314</v>
      </c>
      <c r="D815" s="37" t="s">
        <v>702</v>
      </c>
      <c r="E815" s="35" t="n">
        <v>2004</v>
      </c>
      <c r="F815" s="38" t="n">
        <v>14382.81</v>
      </c>
      <c r="G815" s="39" t="n">
        <v>2</v>
      </c>
      <c r="H815" s="40" t="n">
        <v>2400</v>
      </c>
    </row>
    <row r="816" s="33" customFormat="true" ht="14.25" hidden="false" customHeight="false" outlineLevel="0" collapsed="false">
      <c r="A816" s="34" t="n">
        <f aca="false">A815+1</f>
        <v>811</v>
      </c>
      <c r="B816" s="35" t="s">
        <v>345</v>
      </c>
      <c r="C816" s="35" t="str">
        <f aca="false">"0004316"</f>
        <v>0004316</v>
      </c>
      <c r="D816" s="37" t="s">
        <v>703</v>
      </c>
      <c r="E816" s="35" t="n">
        <v>2004</v>
      </c>
      <c r="F816" s="38" t="n">
        <v>1498.4</v>
      </c>
      <c r="G816" s="39" t="n">
        <v>1</v>
      </c>
      <c r="H816" s="40" t="n">
        <v>125</v>
      </c>
    </row>
    <row r="817" s="33" customFormat="true" ht="14.25" hidden="false" customHeight="false" outlineLevel="0" collapsed="false">
      <c r="A817" s="34" t="n">
        <f aca="false">A816+1</f>
        <v>812</v>
      </c>
      <c r="B817" s="35" t="s">
        <v>345</v>
      </c>
      <c r="C817" s="35" t="str">
        <f aca="false">"0004317"</f>
        <v>0004317</v>
      </c>
      <c r="D817" s="37" t="s">
        <v>704</v>
      </c>
      <c r="E817" s="35" t="n">
        <v>2004</v>
      </c>
      <c r="F817" s="38" t="n">
        <v>1736.2</v>
      </c>
      <c r="G817" s="39" t="n">
        <v>1</v>
      </c>
      <c r="H817" s="40" t="n">
        <v>145</v>
      </c>
    </row>
    <row r="818" s="33" customFormat="true" ht="14.25" hidden="false" customHeight="false" outlineLevel="0" collapsed="false">
      <c r="A818" s="34" t="n">
        <f aca="false">A817+1</f>
        <v>813</v>
      </c>
      <c r="B818" s="35" t="s">
        <v>345</v>
      </c>
      <c r="C818" s="35" t="str">
        <f aca="false">"0004318"</f>
        <v>0004318</v>
      </c>
      <c r="D818" s="37" t="s">
        <v>705</v>
      </c>
      <c r="E818" s="35" t="n">
        <v>2004</v>
      </c>
      <c r="F818" s="38" t="n">
        <v>1726.3</v>
      </c>
      <c r="G818" s="39" t="n">
        <v>1</v>
      </c>
      <c r="H818" s="40" t="n">
        <v>145</v>
      </c>
    </row>
    <row r="819" s="33" customFormat="true" ht="14.25" hidden="false" customHeight="false" outlineLevel="0" collapsed="false">
      <c r="A819" s="34" t="n">
        <f aca="false">A818+1</f>
        <v>814</v>
      </c>
      <c r="B819" s="35" t="s">
        <v>345</v>
      </c>
      <c r="C819" s="35" t="str">
        <f aca="false">"0004319"</f>
        <v>0004319</v>
      </c>
      <c r="D819" s="37" t="s">
        <v>706</v>
      </c>
      <c r="E819" s="35" t="n">
        <v>2004</v>
      </c>
      <c r="F819" s="38" t="n">
        <v>2927.8</v>
      </c>
      <c r="G819" s="39" t="n">
        <v>1</v>
      </c>
      <c r="H819" s="40" t="n">
        <v>245</v>
      </c>
    </row>
    <row r="820" s="33" customFormat="true" ht="14.25" hidden="false" customHeight="false" outlineLevel="0" collapsed="false">
      <c r="A820" s="34" t="n">
        <f aca="false">A819+1</f>
        <v>815</v>
      </c>
      <c r="B820" s="35" t="s">
        <v>345</v>
      </c>
      <c r="C820" s="35" t="str">
        <f aca="false">"0004320"</f>
        <v>0004320</v>
      </c>
      <c r="D820" s="37" t="s">
        <v>707</v>
      </c>
      <c r="E820" s="35" t="n">
        <v>2004</v>
      </c>
      <c r="F820" s="38" t="n">
        <v>3820</v>
      </c>
      <c r="G820" s="39" t="n">
        <v>1</v>
      </c>
      <c r="H820" s="40" t="n">
        <v>320</v>
      </c>
    </row>
    <row r="821" s="33" customFormat="true" ht="14.25" hidden="false" customHeight="false" outlineLevel="0" collapsed="false">
      <c r="A821" s="34" t="n">
        <f aca="false">A820+1</f>
        <v>816</v>
      </c>
      <c r="B821" s="35" t="s">
        <v>345</v>
      </c>
      <c r="C821" s="35" t="str">
        <f aca="false">"0004321"</f>
        <v>0004321</v>
      </c>
      <c r="D821" s="37" t="s">
        <v>708</v>
      </c>
      <c r="E821" s="35" t="n">
        <v>2004</v>
      </c>
      <c r="F821" s="38" t="n">
        <v>3950</v>
      </c>
      <c r="G821" s="39" t="n">
        <v>1</v>
      </c>
      <c r="H821" s="40" t="n">
        <v>330</v>
      </c>
    </row>
    <row r="822" s="33" customFormat="true" ht="14.25" hidden="false" customHeight="false" outlineLevel="0" collapsed="false">
      <c r="A822" s="34" t="n">
        <f aca="false">A821+1</f>
        <v>817</v>
      </c>
      <c r="B822" s="35" t="s">
        <v>345</v>
      </c>
      <c r="C822" s="35" t="str">
        <f aca="false">"0004323"</f>
        <v>0004323</v>
      </c>
      <c r="D822" s="37" t="s">
        <v>709</v>
      </c>
      <c r="E822" s="35" t="n">
        <v>2004</v>
      </c>
      <c r="F822" s="38" t="n">
        <v>3980</v>
      </c>
      <c r="G822" s="39" t="n">
        <v>1</v>
      </c>
      <c r="H822" s="40" t="n">
        <v>330</v>
      </c>
    </row>
    <row r="823" s="33" customFormat="true" ht="14.25" hidden="false" customHeight="false" outlineLevel="0" collapsed="false">
      <c r="A823" s="34" t="n">
        <f aca="false">A822+1</f>
        <v>818</v>
      </c>
      <c r="B823" s="35" t="s">
        <v>345</v>
      </c>
      <c r="C823" s="35" t="str">
        <f aca="false">"0004324"</f>
        <v>0004324</v>
      </c>
      <c r="D823" s="37" t="s">
        <v>710</v>
      </c>
      <c r="E823" s="35" t="n">
        <v>2004</v>
      </c>
      <c r="F823" s="38" t="n">
        <v>2970.3</v>
      </c>
      <c r="G823" s="39" t="n">
        <v>1</v>
      </c>
      <c r="H823" s="40" t="n">
        <v>250</v>
      </c>
    </row>
    <row r="824" s="33" customFormat="true" ht="14.25" hidden="false" customHeight="false" outlineLevel="0" collapsed="false">
      <c r="A824" s="34" t="n">
        <f aca="false">A823+1</f>
        <v>819</v>
      </c>
      <c r="B824" s="35" t="s">
        <v>345</v>
      </c>
      <c r="C824" s="35" t="str">
        <f aca="false">"0004325"</f>
        <v>0004325</v>
      </c>
      <c r="D824" s="37" t="s">
        <v>711</v>
      </c>
      <c r="E824" s="35" t="n">
        <v>2004</v>
      </c>
      <c r="F824" s="38" t="n">
        <v>2959</v>
      </c>
      <c r="G824" s="39" t="n">
        <v>1</v>
      </c>
      <c r="H824" s="40" t="n">
        <v>250</v>
      </c>
    </row>
    <row r="825" s="33" customFormat="true" ht="14.25" hidden="false" customHeight="false" outlineLevel="0" collapsed="false">
      <c r="A825" s="34" t="n">
        <f aca="false">A824+1</f>
        <v>820</v>
      </c>
      <c r="B825" s="35" t="s">
        <v>345</v>
      </c>
      <c r="C825" s="35" t="str">
        <f aca="false">"0004326"</f>
        <v>0004326</v>
      </c>
      <c r="D825" s="37" t="s">
        <v>712</v>
      </c>
      <c r="E825" s="35" t="n">
        <v>2004</v>
      </c>
      <c r="F825" s="38" t="n">
        <v>2426.3</v>
      </c>
      <c r="G825" s="39" t="n">
        <v>1</v>
      </c>
      <c r="H825" s="40" t="n">
        <v>200</v>
      </c>
    </row>
    <row r="826" s="33" customFormat="true" ht="14.25" hidden="false" customHeight="false" outlineLevel="0" collapsed="false">
      <c r="A826" s="34" t="n">
        <f aca="false">A825+1</f>
        <v>821</v>
      </c>
      <c r="B826" s="35" t="s">
        <v>345</v>
      </c>
      <c r="C826" s="35" t="str">
        <f aca="false">"0004327"</f>
        <v>0004327</v>
      </c>
      <c r="D826" s="37" t="s">
        <v>713</v>
      </c>
      <c r="E826" s="35" t="n">
        <v>2004</v>
      </c>
      <c r="F826" s="38" t="n">
        <v>1499.4</v>
      </c>
      <c r="G826" s="39" t="n">
        <v>1</v>
      </c>
      <c r="H826" s="40" t="n">
        <v>125</v>
      </c>
    </row>
    <row r="827" s="33" customFormat="true" ht="14.25" hidden="false" customHeight="false" outlineLevel="0" collapsed="false">
      <c r="A827" s="34" t="n">
        <f aca="false">A826+1</f>
        <v>822</v>
      </c>
      <c r="B827" s="35" t="s">
        <v>345</v>
      </c>
      <c r="C827" s="35" t="str">
        <f aca="false">"0004328"</f>
        <v>0004328</v>
      </c>
      <c r="D827" s="37" t="s">
        <v>714</v>
      </c>
      <c r="E827" s="35" t="n">
        <v>2004</v>
      </c>
      <c r="F827" s="38" t="n">
        <v>1391.3</v>
      </c>
      <c r="G827" s="39" t="n">
        <v>2</v>
      </c>
      <c r="H827" s="40" t="n">
        <v>230</v>
      </c>
    </row>
    <row r="828" s="33" customFormat="true" ht="14.25" hidden="false" customHeight="false" outlineLevel="0" collapsed="false">
      <c r="A828" s="34" t="n">
        <f aca="false">A827+1</f>
        <v>823</v>
      </c>
      <c r="B828" s="35" t="s">
        <v>345</v>
      </c>
      <c r="C828" s="35" t="str">
        <f aca="false">"0004332"</f>
        <v>0004332</v>
      </c>
      <c r="D828" s="37" t="s">
        <v>715</v>
      </c>
      <c r="E828" s="35" t="n">
        <v>2004</v>
      </c>
      <c r="F828" s="38" t="n">
        <v>2843.8</v>
      </c>
      <c r="G828" s="39" t="n">
        <v>1</v>
      </c>
      <c r="H828" s="40" t="n">
        <v>240</v>
      </c>
    </row>
    <row r="829" s="33" customFormat="true" ht="14.25" hidden="false" customHeight="false" outlineLevel="0" collapsed="false">
      <c r="A829" s="34" t="n">
        <f aca="false">A828+1</f>
        <v>824</v>
      </c>
      <c r="B829" s="35" t="s">
        <v>345</v>
      </c>
      <c r="C829" s="35" t="str">
        <f aca="false">"0004335"</f>
        <v>0004335</v>
      </c>
      <c r="D829" s="37" t="s">
        <v>716</v>
      </c>
      <c r="E829" s="35" t="n">
        <v>2004</v>
      </c>
      <c r="F829" s="38" t="n">
        <v>2409.1</v>
      </c>
      <c r="G829" s="39" t="n">
        <v>1</v>
      </c>
      <c r="H829" s="40" t="n">
        <v>200</v>
      </c>
    </row>
    <row r="830" s="33" customFormat="true" ht="14.25" hidden="false" customHeight="false" outlineLevel="0" collapsed="false">
      <c r="A830" s="34" t="n">
        <f aca="false">A829+1</f>
        <v>825</v>
      </c>
      <c r="B830" s="35" t="s">
        <v>345</v>
      </c>
      <c r="C830" s="35" t="str">
        <f aca="false">"0004336"</f>
        <v>0004336</v>
      </c>
      <c r="D830" s="37" t="s">
        <v>717</v>
      </c>
      <c r="E830" s="35" t="n">
        <v>2004</v>
      </c>
      <c r="F830" s="38" t="n">
        <v>1670.8</v>
      </c>
      <c r="G830" s="39" t="n">
        <v>1</v>
      </c>
      <c r="H830" s="40" t="n">
        <v>140</v>
      </c>
    </row>
    <row r="831" s="33" customFormat="true" ht="14.25" hidden="false" customHeight="false" outlineLevel="0" collapsed="false">
      <c r="A831" s="34" t="n">
        <f aca="false">A830+1</f>
        <v>826</v>
      </c>
      <c r="B831" s="35" t="s">
        <v>345</v>
      </c>
      <c r="C831" s="35" t="str">
        <f aca="false">"0004339"</f>
        <v>0004339</v>
      </c>
      <c r="D831" s="37" t="s">
        <v>718</v>
      </c>
      <c r="E831" s="35" t="n">
        <v>2004</v>
      </c>
      <c r="F831" s="38" t="n">
        <v>1629.82</v>
      </c>
      <c r="G831" s="39" t="n">
        <v>1</v>
      </c>
      <c r="H831" s="40" t="n">
        <v>140</v>
      </c>
    </row>
    <row r="832" s="33" customFormat="true" ht="14.25" hidden="false" customHeight="false" outlineLevel="0" collapsed="false">
      <c r="A832" s="34" t="n">
        <f aca="false">A831+1</f>
        <v>827</v>
      </c>
      <c r="B832" s="35" t="s">
        <v>345</v>
      </c>
      <c r="C832" s="35" t="str">
        <f aca="false">"0004345"</f>
        <v>0004345</v>
      </c>
      <c r="D832" s="37" t="s">
        <v>719</v>
      </c>
      <c r="E832" s="35" t="n">
        <v>2004</v>
      </c>
      <c r="F832" s="38" t="n">
        <v>2140.62</v>
      </c>
      <c r="G832" s="39" t="n">
        <v>1</v>
      </c>
      <c r="H832" s="40" t="n">
        <v>140</v>
      </c>
    </row>
    <row r="833" s="33" customFormat="true" ht="14.25" hidden="false" customHeight="false" outlineLevel="0" collapsed="false">
      <c r="A833" s="34" t="n">
        <f aca="false">A832+1</f>
        <v>828</v>
      </c>
      <c r="B833" s="35" t="s">
        <v>345</v>
      </c>
      <c r="C833" s="35" t="str">
        <f aca="false">"0004365"</f>
        <v>0004365</v>
      </c>
      <c r="D833" s="37" t="s">
        <v>720</v>
      </c>
      <c r="E833" s="35" t="n">
        <v>2004</v>
      </c>
      <c r="F833" s="38" t="n">
        <v>9688.6</v>
      </c>
      <c r="G833" s="39" t="n">
        <v>1</v>
      </c>
      <c r="H833" s="40" t="n">
        <v>810</v>
      </c>
    </row>
    <row r="834" s="33" customFormat="true" ht="14.25" hidden="false" customHeight="false" outlineLevel="0" collapsed="false">
      <c r="A834" s="34" t="n">
        <f aca="false">A833+1</f>
        <v>829</v>
      </c>
      <c r="B834" s="35" t="s">
        <v>345</v>
      </c>
      <c r="C834" s="35" t="str">
        <f aca="false">"0004366"</f>
        <v>0004366</v>
      </c>
      <c r="D834" s="37" t="s">
        <v>721</v>
      </c>
      <c r="E834" s="35" t="n">
        <v>2004</v>
      </c>
      <c r="F834" s="38" t="n">
        <v>3117.5</v>
      </c>
      <c r="G834" s="39" t="n">
        <v>5</v>
      </c>
      <c r="H834" s="40" t="n">
        <v>1300</v>
      </c>
    </row>
    <row r="835" s="33" customFormat="true" ht="14.25" hidden="false" customHeight="false" outlineLevel="0" collapsed="false">
      <c r="A835" s="34" t="n">
        <f aca="false">A834+1</f>
        <v>830</v>
      </c>
      <c r="B835" s="35" t="s">
        <v>345</v>
      </c>
      <c r="C835" s="35" t="str">
        <f aca="false">"0004371"</f>
        <v>0004371</v>
      </c>
      <c r="D835" s="37" t="s">
        <v>722</v>
      </c>
      <c r="E835" s="35" t="n">
        <v>2004</v>
      </c>
      <c r="F835" s="38" t="n">
        <v>2840.25</v>
      </c>
      <c r="G835" s="39" t="n">
        <v>1</v>
      </c>
      <c r="H835" s="40" t="n">
        <v>240</v>
      </c>
    </row>
    <row r="836" s="33" customFormat="true" ht="14.25" hidden="false" customHeight="false" outlineLevel="0" collapsed="false">
      <c r="A836" s="34" t="n">
        <f aca="false">A835+1</f>
        <v>831</v>
      </c>
      <c r="B836" s="35" t="s">
        <v>345</v>
      </c>
      <c r="C836" s="35" t="str">
        <f aca="false">"0004372"</f>
        <v>0004372</v>
      </c>
      <c r="D836" s="37" t="s">
        <v>723</v>
      </c>
      <c r="E836" s="35" t="n">
        <v>2004</v>
      </c>
      <c r="F836" s="38" t="n">
        <v>1386.5</v>
      </c>
      <c r="G836" s="39" t="n">
        <v>1</v>
      </c>
      <c r="H836" s="40" t="n">
        <v>115</v>
      </c>
    </row>
    <row r="837" s="33" customFormat="true" ht="14.25" hidden="false" customHeight="false" outlineLevel="0" collapsed="false">
      <c r="A837" s="34" t="n">
        <f aca="false">A836+1</f>
        <v>832</v>
      </c>
      <c r="B837" s="35" t="s">
        <v>345</v>
      </c>
      <c r="C837" s="35" t="str">
        <f aca="false">"0004373"</f>
        <v>0004373</v>
      </c>
      <c r="D837" s="37" t="s">
        <v>724</v>
      </c>
      <c r="E837" s="35" t="n">
        <v>2004</v>
      </c>
      <c r="F837" s="38" t="n">
        <v>3396.1</v>
      </c>
      <c r="G837" s="39" t="n">
        <v>1</v>
      </c>
      <c r="H837" s="40" t="n">
        <v>285</v>
      </c>
    </row>
    <row r="838" s="33" customFormat="true" ht="14.25" hidden="false" customHeight="false" outlineLevel="0" collapsed="false">
      <c r="A838" s="34" t="n">
        <f aca="false">A837+1</f>
        <v>833</v>
      </c>
      <c r="B838" s="35" t="s">
        <v>345</v>
      </c>
      <c r="C838" s="35" t="str">
        <f aca="false">"0004374"</f>
        <v>0004374</v>
      </c>
      <c r="D838" s="37" t="s">
        <v>725</v>
      </c>
      <c r="E838" s="35" t="n">
        <v>2004</v>
      </c>
      <c r="F838" s="38" t="n">
        <v>5836.1</v>
      </c>
      <c r="G838" s="39" t="n">
        <v>1</v>
      </c>
      <c r="H838" s="40" t="n">
        <v>490</v>
      </c>
    </row>
    <row r="839" s="33" customFormat="true" ht="14.25" hidden="false" customHeight="false" outlineLevel="0" collapsed="false">
      <c r="A839" s="34" t="n">
        <f aca="false">A838+1</f>
        <v>834</v>
      </c>
      <c r="B839" s="35" t="s">
        <v>345</v>
      </c>
      <c r="C839" s="35" t="str">
        <f aca="false">"0004375"</f>
        <v>0004375</v>
      </c>
      <c r="D839" s="37" t="s">
        <v>726</v>
      </c>
      <c r="E839" s="35" t="n">
        <v>2004</v>
      </c>
      <c r="F839" s="38" t="n">
        <v>1340.19</v>
      </c>
      <c r="G839" s="39" t="n">
        <v>1</v>
      </c>
      <c r="H839" s="40" t="n">
        <v>110</v>
      </c>
    </row>
    <row r="840" s="33" customFormat="true" ht="14.25" hidden="false" customHeight="false" outlineLevel="0" collapsed="false">
      <c r="A840" s="34" t="n">
        <f aca="false">A839+1</f>
        <v>835</v>
      </c>
      <c r="B840" s="35" t="s">
        <v>345</v>
      </c>
      <c r="C840" s="35" t="str">
        <f aca="false">"0004376"</f>
        <v>0004376</v>
      </c>
      <c r="D840" s="37" t="s">
        <v>727</v>
      </c>
      <c r="E840" s="35" t="n">
        <v>2004</v>
      </c>
      <c r="F840" s="38" t="n">
        <v>2121.05</v>
      </c>
      <c r="G840" s="39" t="n">
        <v>1</v>
      </c>
      <c r="H840" s="40" t="n">
        <v>180</v>
      </c>
    </row>
    <row r="841" s="33" customFormat="true" ht="14.25" hidden="false" customHeight="false" outlineLevel="0" collapsed="false">
      <c r="A841" s="34" t="n">
        <f aca="false">A840+1</f>
        <v>836</v>
      </c>
      <c r="B841" s="35" t="s">
        <v>345</v>
      </c>
      <c r="C841" s="35" t="str">
        <f aca="false">"0004377"</f>
        <v>0004377</v>
      </c>
      <c r="D841" s="37" t="s">
        <v>728</v>
      </c>
      <c r="E841" s="35" t="n">
        <v>2004</v>
      </c>
      <c r="F841" s="38" t="n">
        <v>1290.8</v>
      </c>
      <c r="G841" s="39" t="n">
        <v>2</v>
      </c>
      <c r="H841" s="40" t="n">
        <v>220</v>
      </c>
    </row>
    <row r="842" s="33" customFormat="true" ht="14.25" hidden="false" customHeight="false" outlineLevel="0" collapsed="false">
      <c r="A842" s="34" t="n">
        <f aca="false">A841+1</f>
        <v>837</v>
      </c>
      <c r="B842" s="35" t="s">
        <v>345</v>
      </c>
      <c r="C842" s="35" t="str">
        <f aca="false">"0004379"</f>
        <v>0004379</v>
      </c>
      <c r="D842" s="37" t="s">
        <v>728</v>
      </c>
      <c r="E842" s="35" t="n">
        <v>2004</v>
      </c>
      <c r="F842" s="38" t="n">
        <v>1957</v>
      </c>
      <c r="G842" s="39" t="n">
        <v>2</v>
      </c>
      <c r="H842" s="40" t="n">
        <v>330</v>
      </c>
    </row>
    <row r="843" s="33" customFormat="true" ht="14.25" hidden="false" customHeight="false" outlineLevel="0" collapsed="false">
      <c r="A843" s="34" t="n">
        <f aca="false">A842+1</f>
        <v>838</v>
      </c>
      <c r="B843" s="35" t="s">
        <v>345</v>
      </c>
      <c r="C843" s="35" t="str">
        <f aca="false">"0004381"</f>
        <v>0004381</v>
      </c>
      <c r="D843" s="37" t="s">
        <v>729</v>
      </c>
      <c r="E843" s="35" t="n">
        <v>2004</v>
      </c>
      <c r="F843" s="38" t="n">
        <v>2645.92</v>
      </c>
      <c r="G843" s="39" t="n">
        <v>1</v>
      </c>
      <c r="H843" s="40" t="n">
        <v>220</v>
      </c>
    </row>
    <row r="844" s="33" customFormat="true" ht="14.25" hidden="false" customHeight="false" outlineLevel="0" collapsed="false">
      <c r="A844" s="34" t="n">
        <f aca="false">A843+1</f>
        <v>839</v>
      </c>
      <c r="B844" s="35" t="s">
        <v>345</v>
      </c>
      <c r="C844" s="35" t="str">
        <f aca="false">"0004382"</f>
        <v>0004382</v>
      </c>
      <c r="D844" s="37" t="s">
        <v>729</v>
      </c>
      <c r="E844" s="35" t="n">
        <v>2004</v>
      </c>
      <c r="F844" s="38" t="n">
        <v>3775.21</v>
      </c>
      <c r="G844" s="39" t="n">
        <v>1</v>
      </c>
      <c r="H844" s="40" t="n">
        <v>315</v>
      </c>
    </row>
    <row r="845" s="33" customFormat="true" ht="14.25" hidden="false" customHeight="false" outlineLevel="0" collapsed="false">
      <c r="A845" s="34" t="n">
        <f aca="false">A844+1</f>
        <v>840</v>
      </c>
      <c r="B845" s="35" t="s">
        <v>345</v>
      </c>
      <c r="C845" s="35" t="str">
        <f aca="false">"0004383"</f>
        <v>0004383</v>
      </c>
      <c r="D845" s="37" t="s">
        <v>730</v>
      </c>
      <c r="E845" s="35" t="n">
        <v>2004</v>
      </c>
      <c r="F845" s="38" t="n">
        <v>2568.46</v>
      </c>
      <c r="G845" s="39" t="n">
        <v>1</v>
      </c>
      <c r="H845" s="40" t="n">
        <v>215</v>
      </c>
    </row>
    <row r="846" s="33" customFormat="true" ht="14.25" hidden="false" customHeight="false" outlineLevel="0" collapsed="false">
      <c r="A846" s="34" t="n">
        <f aca="false">A845+1</f>
        <v>841</v>
      </c>
      <c r="B846" s="35" t="s">
        <v>345</v>
      </c>
      <c r="C846" s="35" t="str">
        <f aca="false">"0004384"</f>
        <v>0004384</v>
      </c>
      <c r="D846" s="37" t="s">
        <v>731</v>
      </c>
      <c r="E846" s="35" t="n">
        <v>2004</v>
      </c>
      <c r="F846" s="38" t="n">
        <v>4253.3</v>
      </c>
      <c r="G846" s="39" t="n">
        <v>1</v>
      </c>
      <c r="H846" s="40" t="n">
        <v>355</v>
      </c>
    </row>
    <row r="847" s="33" customFormat="true" ht="14.25" hidden="false" customHeight="false" outlineLevel="0" collapsed="false">
      <c r="A847" s="34" t="n">
        <f aca="false">A846+1</f>
        <v>842</v>
      </c>
      <c r="B847" s="35" t="s">
        <v>345</v>
      </c>
      <c r="C847" s="35" t="str">
        <f aca="false">"0004386"</f>
        <v>0004386</v>
      </c>
      <c r="D847" s="37" t="s">
        <v>732</v>
      </c>
      <c r="E847" s="35" t="n">
        <v>2004</v>
      </c>
      <c r="F847" s="38" t="n">
        <v>2950</v>
      </c>
      <c r="G847" s="39" t="n">
        <v>1</v>
      </c>
      <c r="H847" s="40" t="n">
        <v>245</v>
      </c>
    </row>
    <row r="848" s="33" customFormat="true" ht="14.25" hidden="false" customHeight="false" outlineLevel="0" collapsed="false">
      <c r="A848" s="34" t="n">
        <f aca="false">A847+1</f>
        <v>843</v>
      </c>
      <c r="B848" s="35" t="s">
        <v>345</v>
      </c>
      <c r="C848" s="35" t="str">
        <f aca="false">"0004387"</f>
        <v>0004387</v>
      </c>
      <c r="D848" s="37" t="s">
        <v>733</v>
      </c>
      <c r="E848" s="35" t="n">
        <v>2004</v>
      </c>
      <c r="F848" s="38" t="n">
        <v>1154.26</v>
      </c>
      <c r="G848" s="39" t="n">
        <v>1</v>
      </c>
      <c r="H848" s="40" t="n">
        <v>95</v>
      </c>
    </row>
    <row r="849" s="33" customFormat="true" ht="14.25" hidden="false" customHeight="false" outlineLevel="0" collapsed="false">
      <c r="A849" s="34" t="n">
        <f aca="false">A848+1</f>
        <v>844</v>
      </c>
      <c r="B849" s="35" t="s">
        <v>345</v>
      </c>
      <c r="C849" s="35" t="str">
        <f aca="false">"0004443"</f>
        <v>0004443</v>
      </c>
      <c r="D849" s="37" t="s">
        <v>734</v>
      </c>
      <c r="E849" s="35" t="n">
        <v>2004</v>
      </c>
      <c r="F849" s="38" t="n">
        <v>6086</v>
      </c>
      <c r="G849" s="39" t="n">
        <v>1</v>
      </c>
      <c r="H849" s="40" t="n">
        <v>510</v>
      </c>
    </row>
    <row r="850" s="33" customFormat="true" ht="14.25" hidden="false" customHeight="false" outlineLevel="0" collapsed="false">
      <c r="A850" s="34" t="n">
        <f aca="false">A849+1</f>
        <v>845</v>
      </c>
      <c r="B850" s="35" t="s">
        <v>345</v>
      </c>
      <c r="C850" s="35" t="str">
        <f aca="false">"0004444"</f>
        <v>0004444</v>
      </c>
      <c r="D850" s="37" t="s">
        <v>735</v>
      </c>
      <c r="E850" s="35" t="n">
        <v>2004</v>
      </c>
      <c r="F850" s="38" t="n">
        <v>17043.6</v>
      </c>
      <c r="G850" s="39" t="n">
        <v>1</v>
      </c>
      <c r="H850" s="40" t="n">
        <v>1420</v>
      </c>
    </row>
    <row r="851" s="33" customFormat="true" ht="14.25" hidden="false" customHeight="false" outlineLevel="0" collapsed="false">
      <c r="A851" s="34" t="n">
        <f aca="false">A850+1</f>
        <v>846</v>
      </c>
      <c r="B851" s="35" t="s">
        <v>345</v>
      </c>
      <c r="C851" s="35" t="str">
        <f aca="false">"0004446"</f>
        <v>0004446</v>
      </c>
      <c r="D851" s="37" t="s">
        <v>736</v>
      </c>
      <c r="E851" s="35" t="n">
        <v>2004</v>
      </c>
      <c r="F851" s="38" t="n">
        <v>3291.44</v>
      </c>
      <c r="G851" s="39" t="n">
        <v>1</v>
      </c>
      <c r="H851" s="40" t="n">
        <v>275</v>
      </c>
    </row>
    <row r="852" s="33" customFormat="true" ht="14.25" hidden="false" customHeight="false" outlineLevel="0" collapsed="false">
      <c r="A852" s="34" t="n">
        <f aca="false">A851+1</f>
        <v>847</v>
      </c>
      <c r="B852" s="35" t="s">
        <v>345</v>
      </c>
      <c r="C852" s="35" t="str">
        <f aca="false">"0004447"</f>
        <v>0004447</v>
      </c>
      <c r="D852" s="37" t="s">
        <v>737</v>
      </c>
      <c r="E852" s="35" t="n">
        <v>2004</v>
      </c>
      <c r="F852" s="38" t="n">
        <v>10108.44</v>
      </c>
      <c r="G852" s="39" t="n">
        <v>1</v>
      </c>
      <c r="H852" s="40" t="n">
        <v>840</v>
      </c>
    </row>
    <row r="853" s="33" customFormat="true" ht="14.25" hidden="false" customHeight="false" outlineLevel="0" collapsed="false">
      <c r="A853" s="34" t="n">
        <f aca="false">A852+1</f>
        <v>848</v>
      </c>
      <c r="B853" s="35" t="s">
        <v>345</v>
      </c>
      <c r="C853" s="35" t="str">
        <f aca="false">"0004448"</f>
        <v>0004448</v>
      </c>
      <c r="D853" s="37" t="s">
        <v>738</v>
      </c>
      <c r="E853" s="35" t="n">
        <v>2004</v>
      </c>
      <c r="F853" s="38" t="n">
        <v>15216.8</v>
      </c>
      <c r="G853" s="39" t="n">
        <v>1</v>
      </c>
      <c r="H853" s="40" t="n">
        <v>1265</v>
      </c>
    </row>
    <row r="854" s="33" customFormat="true" ht="14.25" hidden="false" customHeight="false" outlineLevel="0" collapsed="false">
      <c r="A854" s="34" t="n">
        <f aca="false">A853+1</f>
        <v>849</v>
      </c>
      <c r="B854" s="35" t="s">
        <v>345</v>
      </c>
      <c r="C854" s="35" t="str">
        <f aca="false">"0004449"</f>
        <v>0004449</v>
      </c>
      <c r="D854" s="37" t="s">
        <v>739</v>
      </c>
      <c r="E854" s="35" t="n">
        <v>2004</v>
      </c>
      <c r="F854" s="38" t="n">
        <v>17069.74</v>
      </c>
      <c r="G854" s="39" t="n">
        <v>1</v>
      </c>
      <c r="H854" s="40" t="n">
        <v>1420</v>
      </c>
    </row>
    <row r="855" s="33" customFormat="true" ht="14.25" hidden="false" customHeight="false" outlineLevel="0" collapsed="false">
      <c r="A855" s="34" t="n">
        <f aca="false">A854+1</f>
        <v>850</v>
      </c>
      <c r="B855" s="35" t="s">
        <v>345</v>
      </c>
      <c r="C855" s="35" t="str">
        <f aca="false">"0004450"</f>
        <v>0004450</v>
      </c>
      <c r="D855" s="37" t="s">
        <v>740</v>
      </c>
      <c r="E855" s="35" t="n">
        <v>2004</v>
      </c>
      <c r="F855" s="38" t="n">
        <v>16971</v>
      </c>
      <c r="G855" s="39" t="n">
        <v>1</v>
      </c>
      <c r="H855" s="40" t="n">
        <v>1415</v>
      </c>
    </row>
    <row r="856" s="33" customFormat="true" ht="14.25" hidden="false" customHeight="false" outlineLevel="0" collapsed="false">
      <c r="A856" s="34" t="n">
        <f aca="false">A855+1</f>
        <v>851</v>
      </c>
      <c r="B856" s="35" t="s">
        <v>345</v>
      </c>
      <c r="C856" s="35" t="str">
        <f aca="false">"0004507"</f>
        <v>0004507</v>
      </c>
      <c r="D856" s="37" t="s">
        <v>741</v>
      </c>
      <c r="E856" s="35" t="n">
        <v>2004</v>
      </c>
      <c r="F856" s="38" t="n">
        <v>1564.29</v>
      </c>
      <c r="G856" s="39" t="n">
        <v>1</v>
      </c>
      <c r="H856" s="40" t="n">
        <v>130</v>
      </c>
    </row>
    <row r="857" s="33" customFormat="true" ht="14.25" hidden="false" customHeight="false" outlineLevel="0" collapsed="false">
      <c r="A857" s="34" t="n">
        <f aca="false">A856+1</f>
        <v>852</v>
      </c>
      <c r="B857" s="35" t="s">
        <v>345</v>
      </c>
      <c r="C857" s="35" t="str">
        <f aca="false">"0004508"</f>
        <v>0004508</v>
      </c>
      <c r="D857" s="37" t="s">
        <v>742</v>
      </c>
      <c r="E857" s="35" t="n">
        <v>2004</v>
      </c>
      <c r="F857" s="38" t="n">
        <v>1538.16</v>
      </c>
      <c r="G857" s="39" t="n">
        <v>2</v>
      </c>
      <c r="H857" s="40" t="n">
        <v>260</v>
      </c>
    </row>
    <row r="858" s="33" customFormat="true" ht="14.25" hidden="false" customHeight="false" outlineLevel="0" collapsed="false">
      <c r="A858" s="34" t="n">
        <f aca="false">A857+1</f>
        <v>853</v>
      </c>
      <c r="B858" s="35" t="s">
        <v>345</v>
      </c>
      <c r="C858" s="35" t="str">
        <f aca="false">"0004511"</f>
        <v>0004511</v>
      </c>
      <c r="D858" s="37" t="s">
        <v>743</v>
      </c>
      <c r="E858" s="35" t="n">
        <v>2004</v>
      </c>
      <c r="F858" s="38" t="n">
        <v>1458.1</v>
      </c>
      <c r="G858" s="39" t="n">
        <v>2</v>
      </c>
      <c r="H858" s="40" t="n">
        <v>240</v>
      </c>
    </row>
    <row r="859" s="33" customFormat="true" ht="14.25" hidden="false" customHeight="false" outlineLevel="0" collapsed="false">
      <c r="A859" s="34" t="n">
        <f aca="false">A858+1</f>
        <v>854</v>
      </c>
      <c r="B859" s="35" t="s">
        <v>345</v>
      </c>
      <c r="C859" s="35" t="str">
        <f aca="false">"0004513"</f>
        <v>0004513</v>
      </c>
      <c r="D859" s="37" t="s">
        <v>744</v>
      </c>
      <c r="E859" s="35" t="n">
        <v>2004</v>
      </c>
      <c r="F859" s="38" t="n">
        <v>1134</v>
      </c>
      <c r="G859" s="39" t="n">
        <v>3</v>
      </c>
      <c r="H859" s="40" t="n">
        <v>285</v>
      </c>
    </row>
    <row r="860" s="33" customFormat="true" ht="14.25" hidden="false" customHeight="false" outlineLevel="0" collapsed="false">
      <c r="A860" s="34" t="n">
        <f aca="false">A859+1</f>
        <v>855</v>
      </c>
      <c r="B860" s="35" t="s">
        <v>345</v>
      </c>
      <c r="C860" s="35" t="str">
        <f aca="false">"0004516"</f>
        <v>0004516</v>
      </c>
      <c r="D860" s="37" t="s">
        <v>745</v>
      </c>
      <c r="E860" s="35" t="n">
        <v>2004</v>
      </c>
      <c r="F860" s="38" t="n">
        <v>4138.6</v>
      </c>
      <c r="G860" s="39" t="n">
        <v>1</v>
      </c>
      <c r="H860" s="40" t="n">
        <v>345</v>
      </c>
    </row>
    <row r="861" s="33" customFormat="true" ht="14.25" hidden="false" customHeight="false" outlineLevel="0" collapsed="false">
      <c r="A861" s="34" t="n">
        <f aca="false">A860+1</f>
        <v>856</v>
      </c>
      <c r="B861" s="35" t="s">
        <v>345</v>
      </c>
      <c r="C861" s="35" t="str">
        <f aca="false">"0004517"</f>
        <v>0004517</v>
      </c>
      <c r="D861" s="37" t="s">
        <v>746</v>
      </c>
      <c r="E861" s="35" t="n">
        <v>2004</v>
      </c>
      <c r="F861" s="38" t="n">
        <v>2280.6</v>
      </c>
      <c r="G861" s="39" t="n">
        <v>1</v>
      </c>
      <c r="H861" s="40" t="n">
        <v>190</v>
      </c>
    </row>
    <row r="862" s="33" customFormat="true" ht="14.25" hidden="false" customHeight="false" outlineLevel="0" collapsed="false">
      <c r="A862" s="34" t="n">
        <f aca="false">A861+1</f>
        <v>857</v>
      </c>
      <c r="B862" s="35" t="s">
        <v>345</v>
      </c>
      <c r="C862" s="35" t="str">
        <f aca="false">"0004518"</f>
        <v>0004518</v>
      </c>
      <c r="D862" s="37" t="s">
        <v>747</v>
      </c>
      <c r="E862" s="35" t="n">
        <v>2004</v>
      </c>
      <c r="F862" s="38" t="n">
        <v>1230.5</v>
      </c>
      <c r="G862" s="39" t="n">
        <v>1</v>
      </c>
      <c r="H862" s="40" t="n">
        <v>105</v>
      </c>
    </row>
    <row r="863" s="33" customFormat="true" ht="14.25" hidden="false" customHeight="false" outlineLevel="0" collapsed="false">
      <c r="A863" s="34" t="n">
        <f aca="false">A862+1</f>
        <v>858</v>
      </c>
      <c r="B863" s="35" t="s">
        <v>345</v>
      </c>
      <c r="C863" s="35" t="str">
        <f aca="false">"0004519"</f>
        <v>0004519</v>
      </c>
      <c r="D863" s="37" t="s">
        <v>748</v>
      </c>
      <c r="E863" s="35" t="n">
        <v>2004</v>
      </c>
      <c r="F863" s="38" t="n">
        <v>1457</v>
      </c>
      <c r="G863" s="39" t="n">
        <v>1</v>
      </c>
      <c r="H863" s="40" t="n">
        <v>120</v>
      </c>
    </row>
    <row r="864" s="33" customFormat="true" ht="14.25" hidden="false" customHeight="false" outlineLevel="0" collapsed="false">
      <c r="A864" s="34" t="n">
        <f aca="false">A863+1</f>
        <v>859</v>
      </c>
      <c r="B864" s="35" t="s">
        <v>345</v>
      </c>
      <c r="C864" s="35" t="str">
        <f aca="false">"0004520"</f>
        <v>0004520</v>
      </c>
      <c r="D864" s="37" t="s">
        <v>749</v>
      </c>
      <c r="E864" s="35" t="n">
        <v>2004</v>
      </c>
      <c r="F864" s="38" t="n">
        <v>1622.4</v>
      </c>
      <c r="G864" s="39" t="n">
        <v>1</v>
      </c>
      <c r="H864" s="40" t="n">
        <v>135</v>
      </c>
    </row>
    <row r="865" s="33" customFormat="true" ht="14.25" hidden="false" customHeight="false" outlineLevel="0" collapsed="false">
      <c r="A865" s="34" t="n">
        <f aca="false">A864+1</f>
        <v>860</v>
      </c>
      <c r="B865" s="35" t="s">
        <v>345</v>
      </c>
      <c r="C865" s="35" t="str">
        <f aca="false">"0004521"</f>
        <v>0004521</v>
      </c>
      <c r="D865" s="37" t="s">
        <v>750</v>
      </c>
      <c r="E865" s="35" t="n">
        <v>2004</v>
      </c>
      <c r="F865" s="38" t="n">
        <v>1622.4</v>
      </c>
      <c r="G865" s="39" t="n">
        <v>1</v>
      </c>
      <c r="H865" s="40" t="n">
        <v>135</v>
      </c>
    </row>
    <row r="866" s="33" customFormat="true" ht="14.25" hidden="false" customHeight="false" outlineLevel="0" collapsed="false">
      <c r="A866" s="34" t="n">
        <f aca="false">A865+1</f>
        <v>861</v>
      </c>
      <c r="B866" s="35" t="s">
        <v>345</v>
      </c>
      <c r="C866" s="35" t="str">
        <f aca="false">"0004522"</f>
        <v>0004522</v>
      </c>
      <c r="D866" s="37" t="s">
        <v>751</v>
      </c>
      <c r="E866" s="35" t="n">
        <v>2004</v>
      </c>
      <c r="F866" s="38" t="n">
        <v>10450.44</v>
      </c>
      <c r="G866" s="39" t="n">
        <v>1</v>
      </c>
      <c r="H866" s="40" t="n">
        <v>870</v>
      </c>
    </row>
    <row r="867" s="33" customFormat="true" ht="14.25" hidden="false" customHeight="false" outlineLevel="0" collapsed="false">
      <c r="A867" s="34" t="n">
        <f aca="false">A866+1</f>
        <v>862</v>
      </c>
      <c r="B867" s="35" t="s">
        <v>345</v>
      </c>
      <c r="C867" s="35" t="str">
        <f aca="false">"0004523"</f>
        <v>0004523</v>
      </c>
      <c r="D867" s="37" t="s">
        <v>752</v>
      </c>
      <c r="E867" s="35" t="n">
        <v>2004</v>
      </c>
      <c r="F867" s="38" t="n">
        <v>2594.5</v>
      </c>
      <c r="G867" s="39" t="n">
        <v>2</v>
      </c>
      <c r="H867" s="40" t="n">
        <v>440</v>
      </c>
    </row>
    <row r="868" s="33" customFormat="true" ht="14.25" hidden="false" customHeight="false" outlineLevel="0" collapsed="false">
      <c r="A868" s="34" t="n">
        <f aca="false">A867+1</f>
        <v>863</v>
      </c>
      <c r="B868" s="35" t="s">
        <v>345</v>
      </c>
      <c r="C868" s="35" t="str">
        <f aca="false">"0004525"</f>
        <v>0004525</v>
      </c>
      <c r="D868" s="37" t="s">
        <v>753</v>
      </c>
      <c r="E868" s="35" t="n">
        <v>2004</v>
      </c>
      <c r="F868" s="38" t="n">
        <v>2594.5</v>
      </c>
      <c r="G868" s="39" t="n">
        <v>2</v>
      </c>
      <c r="H868" s="40" t="n">
        <v>440</v>
      </c>
    </row>
    <row r="869" s="33" customFormat="true" ht="14.25" hidden="false" customHeight="false" outlineLevel="0" collapsed="false">
      <c r="A869" s="34" t="n">
        <f aca="false">A868+1</f>
        <v>864</v>
      </c>
      <c r="B869" s="35" t="s">
        <v>345</v>
      </c>
      <c r="C869" s="35" t="str">
        <f aca="false">"0004527"</f>
        <v>0004527</v>
      </c>
      <c r="D869" s="37" t="s">
        <v>754</v>
      </c>
      <c r="E869" s="35" t="n">
        <v>2004</v>
      </c>
      <c r="F869" s="38" t="n">
        <v>2594.5</v>
      </c>
      <c r="G869" s="39" t="n">
        <v>3</v>
      </c>
      <c r="H869" s="40" t="n">
        <v>660</v>
      </c>
    </row>
    <row r="870" s="33" customFormat="true" ht="14.25" hidden="false" customHeight="false" outlineLevel="0" collapsed="false">
      <c r="A870" s="34" t="n">
        <f aca="false">A869+1</f>
        <v>865</v>
      </c>
      <c r="B870" s="35" t="s">
        <v>345</v>
      </c>
      <c r="C870" s="35" t="str">
        <f aca="false">"0004530"</f>
        <v>0004530</v>
      </c>
      <c r="D870" s="37" t="s">
        <v>755</v>
      </c>
      <c r="E870" s="35" t="n">
        <v>2004</v>
      </c>
      <c r="F870" s="38" t="n">
        <v>2594.5</v>
      </c>
      <c r="G870" s="39" t="n">
        <v>2</v>
      </c>
      <c r="H870" s="40" t="n">
        <v>440</v>
      </c>
    </row>
    <row r="871" s="33" customFormat="true" ht="14.25" hidden="false" customHeight="false" outlineLevel="0" collapsed="false">
      <c r="A871" s="34" t="n">
        <f aca="false">A870+1</f>
        <v>866</v>
      </c>
      <c r="B871" s="35" t="s">
        <v>345</v>
      </c>
      <c r="C871" s="35" t="str">
        <f aca="false">"0004532"</f>
        <v>0004532</v>
      </c>
      <c r="D871" s="37" t="s">
        <v>756</v>
      </c>
      <c r="E871" s="35" t="n">
        <v>2004</v>
      </c>
      <c r="F871" s="38" t="n">
        <v>2770.8</v>
      </c>
      <c r="G871" s="39" t="n">
        <v>1</v>
      </c>
      <c r="H871" s="40" t="n">
        <v>230</v>
      </c>
    </row>
    <row r="872" s="33" customFormat="true" ht="14.25" hidden="false" customHeight="false" outlineLevel="0" collapsed="false">
      <c r="A872" s="34" t="n">
        <f aca="false">A871+1</f>
        <v>867</v>
      </c>
      <c r="B872" s="35" t="s">
        <v>345</v>
      </c>
      <c r="C872" s="35" t="str">
        <f aca="false">"0004533"</f>
        <v>0004533</v>
      </c>
      <c r="D872" s="37" t="s">
        <v>757</v>
      </c>
      <c r="E872" s="35" t="n">
        <v>2004</v>
      </c>
      <c r="F872" s="38" t="n">
        <v>3042.9</v>
      </c>
      <c r="G872" s="39" t="n">
        <v>1</v>
      </c>
      <c r="H872" s="40" t="n">
        <v>255</v>
      </c>
    </row>
    <row r="873" s="33" customFormat="true" ht="14.25" hidden="false" customHeight="false" outlineLevel="0" collapsed="false">
      <c r="A873" s="34" t="n">
        <f aca="false">A872+1</f>
        <v>868</v>
      </c>
      <c r="B873" s="35" t="s">
        <v>345</v>
      </c>
      <c r="C873" s="35" t="str">
        <f aca="false">"0004534"</f>
        <v>0004534</v>
      </c>
      <c r="D873" s="37" t="s">
        <v>758</v>
      </c>
      <c r="E873" s="35" t="n">
        <v>2004</v>
      </c>
      <c r="F873" s="38" t="n">
        <v>2734.2</v>
      </c>
      <c r="G873" s="39" t="n">
        <v>1</v>
      </c>
      <c r="H873" s="40" t="n">
        <v>230</v>
      </c>
    </row>
    <row r="874" s="33" customFormat="true" ht="14.25" hidden="false" customHeight="false" outlineLevel="0" collapsed="false">
      <c r="A874" s="34" t="n">
        <f aca="false">A873+1</f>
        <v>869</v>
      </c>
      <c r="B874" s="35" t="s">
        <v>345</v>
      </c>
      <c r="C874" s="35" t="str">
        <f aca="false">"0004535"</f>
        <v>0004535</v>
      </c>
      <c r="D874" s="37" t="s">
        <v>759</v>
      </c>
      <c r="E874" s="35" t="n">
        <v>2004</v>
      </c>
      <c r="F874" s="38" t="n">
        <v>31148</v>
      </c>
      <c r="G874" s="39" t="n">
        <v>1</v>
      </c>
      <c r="H874" s="40" t="n">
        <v>2590</v>
      </c>
    </row>
    <row r="875" s="33" customFormat="true" ht="14.25" hidden="false" customHeight="false" outlineLevel="0" collapsed="false">
      <c r="A875" s="34" t="n">
        <f aca="false">A874+1</f>
        <v>870</v>
      </c>
      <c r="B875" s="35" t="s">
        <v>345</v>
      </c>
      <c r="C875" s="35" t="str">
        <f aca="false">"0004582"</f>
        <v>0004582</v>
      </c>
      <c r="D875" s="37" t="s">
        <v>760</v>
      </c>
      <c r="E875" s="35" t="n">
        <v>2004</v>
      </c>
      <c r="F875" s="38" t="n">
        <v>2855</v>
      </c>
      <c r="G875" s="39" t="n">
        <v>1</v>
      </c>
      <c r="H875" s="40" t="n">
        <v>240</v>
      </c>
    </row>
    <row r="876" s="33" customFormat="true" ht="14.25" hidden="false" customHeight="false" outlineLevel="0" collapsed="false">
      <c r="A876" s="34" t="n">
        <f aca="false">A875+1</f>
        <v>871</v>
      </c>
      <c r="B876" s="35" t="s">
        <v>345</v>
      </c>
      <c r="C876" s="35" t="str">
        <f aca="false">"0004583"</f>
        <v>0004583</v>
      </c>
      <c r="D876" s="37" t="s">
        <v>761</v>
      </c>
      <c r="E876" s="35" t="n">
        <v>2004</v>
      </c>
      <c r="F876" s="38" t="n">
        <v>4262</v>
      </c>
      <c r="G876" s="39" t="n">
        <v>1</v>
      </c>
      <c r="H876" s="40" t="n">
        <v>355</v>
      </c>
    </row>
    <row r="877" s="33" customFormat="true" ht="14.25" hidden="false" customHeight="false" outlineLevel="0" collapsed="false">
      <c r="A877" s="34" t="n">
        <f aca="false">A876+1</f>
        <v>872</v>
      </c>
      <c r="B877" s="35" t="s">
        <v>345</v>
      </c>
      <c r="C877" s="35" t="str">
        <f aca="false">"0004713"</f>
        <v>0004713</v>
      </c>
      <c r="D877" s="37" t="s">
        <v>762</v>
      </c>
      <c r="E877" s="35" t="n">
        <v>2005</v>
      </c>
      <c r="F877" s="38" t="n">
        <f aca="false">800*7.5</f>
        <v>6000</v>
      </c>
      <c r="G877" s="39" t="n">
        <v>3</v>
      </c>
      <c r="H877" s="40" t="n">
        <v>2250</v>
      </c>
    </row>
    <row r="878" s="33" customFormat="true" ht="14.25" hidden="false" customHeight="false" outlineLevel="0" collapsed="false">
      <c r="A878" s="34" t="n">
        <f aca="false">A877+1</f>
        <v>873</v>
      </c>
      <c r="B878" s="35" t="s">
        <v>345</v>
      </c>
      <c r="C878" s="35" t="str">
        <f aca="false">"0004807"</f>
        <v>0004807</v>
      </c>
      <c r="D878" s="37" t="s">
        <v>763</v>
      </c>
      <c r="E878" s="35" t="n">
        <v>2004</v>
      </c>
      <c r="F878" s="38" t="n">
        <v>1100</v>
      </c>
      <c r="G878" s="39" t="n">
        <v>1</v>
      </c>
      <c r="H878" s="40" t="n">
        <v>90</v>
      </c>
    </row>
    <row r="879" s="33" customFormat="true" ht="14.25" hidden="false" customHeight="false" outlineLevel="0" collapsed="false">
      <c r="A879" s="34" t="n">
        <f aca="false">A878+1</f>
        <v>874</v>
      </c>
      <c r="B879" s="35" t="s">
        <v>345</v>
      </c>
      <c r="C879" s="35" t="str">
        <f aca="false">"0004808"</f>
        <v>0004808</v>
      </c>
      <c r="D879" s="37" t="s">
        <v>764</v>
      </c>
      <c r="E879" s="35" t="n">
        <v>2004</v>
      </c>
      <c r="F879" s="38" t="n">
        <v>15830</v>
      </c>
      <c r="G879" s="39" t="n">
        <v>1</v>
      </c>
      <c r="H879" s="40" t="n">
        <v>1320</v>
      </c>
    </row>
    <row r="880" s="33" customFormat="true" ht="14.25" hidden="false" customHeight="false" outlineLevel="0" collapsed="false">
      <c r="A880" s="34" t="n">
        <f aca="false">A879+1</f>
        <v>875</v>
      </c>
      <c r="B880" s="35" t="s">
        <v>345</v>
      </c>
      <c r="C880" s="35" t="str">
        <f aca="false">"0004809"</f>
        <v>0004809</v>
      </c>
      <c r="D880" s="37" t="s">
        <v>765</v>
      </c>
      <c r="E880" s="35" t="n">
        <v>2004</v>
      </c>
      <c r="F880" s="38" t="n">
        <v>7983.92</v>
      </c>
      <c r="G880" s="39" t="n">
        <v>1</v>
      </c>
      <c r="H880" s="40" t="n">
        <v>665</v>
      </c>
    </row>
    <row r="881" s="33" customFormat="true" ht="14.25" hidden="false" customHeight="false" outlineLevel="0" collapsed="false">
      <c r="A881" s="34" t="n">
        <f aca="false">A880+1</f>
        <v>876</v>
      </c>
      <c r="B881" s="35" t="s">
        <v>345</v>
      </c>
      <c r="C881" s="35" t="str">
        <f aca="false">"0004810"</f>
        <v>0004810</v>
      </c>
      <c r="D881" s="37" t="s">
        <v>766</v>
      </c>
      <c r="E881" s="35" t="n">
        <v>2004</v>
      </c>
      <c r="F881" s="38" t="n">
        <v>4916.82</v>
      </c>
      <c r="G881" s="39" t="n">
        <v>1</v>
      </c>
      <c r="H881" s="40" t="n">
        <v>410</v>
      </c>
    </row>
    <row r="882" s="33" customFormat="true" ht="14.25" hidden="false" customHeight="false" outlineLevel="0" collapsed="false">
      <c r="A882" s="34" t="n">
        <f aca="false">A881+1</f>
        <v>877</v>
      </c>
      <c r="B882" s="35" t="s">
        <v>345</v>
      </c>
      <c r="C882" s="35" t="str">
        <f aca="false">"0004811"</f>
        <v>0004811</v>
      </c>
      <c r="D882" s="37" t="s">
        <v>767</v>
      </c>
      <c r="E882" s="35" t="n">
        <v>2004</v>
      </c>
      <c r="F882" s="38" t="n">
        <v>4452</v>
      </c>
      <c r="G882" s="39" t="n">
        <v>2</v>
      </c>
      <c r="H882" s="40" t="n">
        <v>740</v>
      </c>
    </row>
    <row r="883" s="33" customFormat="true" ht="14.25" hidden="false" customHeight="false" outlineLevel="0" collapsed="false">
      <c r="A883" s="34" t="n">
        <f aca="false">A882+1</f>
        <v>878</v>
      </c>
      <c r="B883" s="35" t="s">
        <v>345</v>
      </c>
      <c r="C883" s="35" t="str">
        <f aca="false">"0004813"</f>
        <v>0004813</v>
      </c>
      <c r="D883" s="37" t="s">
        <v>768</v>
      </c>
      <c r="E883" s="35" t="n">
        <v>2004</v>
      </c>
      <c r="F883" s="38" t="n">
        <v>13619.76</v>
      </c>
      <c r="G883" s="39" t="n">
        <v>1</v>
      </c>
      <c r="H883" s="40" t="n">
        <v>1140</v>
      </c>
    </row>
    <row r="884" s="33" customFormat="true" ht="14.25" hidden="false" customHeight="false" outlineLevel="0" collapsed="false">
      <c r="A884" s="34" t="n">
        <f aca="false">A883+1</f>
        <v>879</v>
      </c>
      <c r="B884" s="35" t="s">
        <v>345</v>
      </c>
      <c r="C884" s="35" t="str">
        <f aca="false">"0004814"</f>
        <v>0004814</v>
      </c>
      <c r="D884" s="37" t="s">
        <v>769</v>
      </c>
      <c r="E884" s="35" t="n">
        <v>2004</v>
      </c>
      <c r="F884" s="38" t="n">
        <v>2645.85</v>
      </c>
      <c r="G884" s="39" t="n">
        <v>1</v>
      </c>
      <c r="H884" s="40" t="n">
        <v>220</v>
      </c>
    </row>
    <row r="885" s="33" customFormat="true" ht="14.25" hidden="false" customHeight="false" outlineLevel="0" collapsed="false">
      <c r="A885" s="34" t="n">
        <f aca="false">A884+1</f>
        <v>880</v>
      </c>
      <c r="B885" s="35" t="s">
        <v>345</v>
      </c>
      <c r="C885" s="35" t="str">
        <f aca="false">"0004815"</f>
        <v>0004815</v>
      </c>
      <c r="D885" s="37" t="s">
        <v>770</v>
      </c>
      <c r="E885" s="35" t="n">
        <v>2004</v>
      </c>
      <c r="F885" s="38" t="n">
        <v>1782.45</v>
      </c>
      <c r="G885" s="39" t="n">
        <v>1</v>
      </c>
      <c r="H885" s="40" t="n">
        <v>150</v>
      </c>
    </row>
    <row r="886" s="33" customFormat="true" ht="14.25" hidden="false" customHeight="false" outlineLevel="0" collapsed="false">
      <c r="A886" s="34" t="n">
        <f aca="false">A885+1</f>
        <v>881</v>
      </c>
      <c r="B886" s="35" t="s">
        <v>345</v>
      </c>
      <c r="C886" s="35" t="str">
        <f aca="false">"0004861"</f>
        <v>0004861</v>
      </c>
      <c r="D886" s="37" t="s">
        <v>771</v>
      </c>
      <c r="E886" s="35" t="n">
        <v>2005</v>
      </c>
      <c r="F886" s="38" t="n">
        <v>7896.1</v>
      </c>
      <c r="G886" s="39" t="n">
        <v>1</v>
      </c>
      <c r="H886" s="40" t="n">
        <v>735</v>
      </c>
    </row>
    <row r="887" s="33" customFormat="true" ht="14.25" hidden="false" customHeight="false" outlineLevel="0" collapsed="false">
      <c r="A887" s="34" t="n">
        <f aca="false">A886+1</f>
        <v>882</v>
      </c>
      <c r="B887" s="35" t="s">
        <v>345</v>
      </c>
      <c r="C887" s="35" t="str">
        <f aca="false">"0004862"</f>
        <v>0004862</v>
      </c>
      <c r="D887" s="37" t="s">
        <v>772</v>
      </c>
      <c r="E887" s="35" t="n">
        <v>2005</v>
      </c>
      <c r="F887" s="38" t="n">
        <v>4662</v>
      </c>
      <c r="G887" s="39" t="n">
        <v>1</v>
      </c>
      <c r="H887" s="40" t="n">
        <v>435</v>
      </c>
    </row>
    <row r="888" s="33" customFormat="true" ht="14.25" hidden="false" customHeight="false" outlineLevel="0" collapsed="false">
      <c r="A888" s="34" t="n">
        <f aca="false">A887+1</f>
        <v>883</v>
      </c>
      <c r="B888" s="35" t="s">
        <v>345</v>
      </c>
      <c r="C888" s="35" t="str">
        <f aca="false">"0004863"</f>
        <v>0004863</v>
      </c>
      <c r="D888" s="37" t="s">
        <v>773</v>
      </c>
      <c r="E888" s="35" t="n">
        <v>2005</v>
      </c>
      <c r="F888" s="38" t="n">
        <v>4398</v>
      </c>
      <c r="G888" s="39" t="n">
        <v>1</v>
      </c>
      <c r="H888" s="40" t="n">
        <v>410</v>
      </c>
    </row>
    <row r="889" s="33" customFormat="true" ht="14.25" hidden="false" customHeight="false" outlineLevel="0" collapsed="false">
      <c r="A889" s="34" t="n">
        <f aca="false">A888+1</f>
        <v>884</v>
      </c>
      <c r="B889" s="35" t="s">
        <v>345</v>
      </c>
      <c r="C889" s="35" t="str">
        <f aca="false">"0004864"</f>
        <v>0004864</v>
      </c>
      <c r="D889" s="37" t="s">
        <v>774</v>
      </c>
      <c r="E889" s="35" t="n">
        <v>2005</v>
      </c>
      <c r="F889" s="38" t="n">
        <v>3660</v>
      </c>
      <c r="G889" s="39" t="n">
        <v>1</v>
      </c>
      <c r="H889" s="40" t="n">
        <v>340</v>
      </c>
    </row>
    <row r="890" s="33" customFormat="true" ht="14.25" hidden="false" customHeight="false" outlineLevel="0" collapsed="false">
      <c r="A890" s="34" t="n">
        <f aca="false">A889+1</f>
        <v>885</v>
      </c>
      <c r="B890" s="35" t="s">
        <v>345</v>
      </c>
      <c r="C890" s="35" t="str">
        <f aca="false">"0004865"</f>
        <v>0004865</v>
      </c>
      <c r="D890" s="37" t="s">
        <v>775</v>
      </c>
      <c r="E890" s="35" t="n">
        <v>2005</v>
      </c>
      <c r="F890" s="38" t="n">
        <v>9935.48</v>
      </c>
      <c r="G890" s="39" t="n">
        <v>2</v>
      </c>
      <c r="H890" s="40" t="n">
        <v>1840</v>
      </c>
    </row>
    <row r="891" s="33" customFormat="true" ht="14.25" hidden="false" customHeight="false" outlineLevel="0" collapsed="false">
      <c r="A891" s="34" t="n">
        <f aca="false">A890+1</f>
        <v>886</v>
      </c>
      <c r="B891" s="35" t="s">
        <v>345</v>
      </c>
      <c r="C891" s="35" t="str">
        <f aca="false">"0004972"</f>
        <v>0004972</v>
      </c>
      <c r="D891" s="37" t="s">
        <v>776</v>
      </c>
      <c r="E891" s="35" t="n">
        <v>2005</v>
      </c>
      <c r="F891" s="38" t="n">
        <v>3295.2</v>
      </c>
      <c r="G891" s="39" t="n">
        <v>5</v>
      </c>
      <c r="H891" s="40" t="n">
        <v>1525</v>
      </c>
    </row>
    <row r="892" s="33" customFormat="true" ht="14.25" hidden="false" customHeight="false" outlineLevel="0" collapsed="false">
      <c r="A892" s="34" t="n">
        <f aca="false">A891+1</f>
        <v>887</v>
      </c>
      <c r="B892" s="35" t="s">
        <v>345</v>
      </c>
      <c r="C892" s="35" t="str">
        <f aca="false">"0004977"</f>
        <v>0004977</v>
      </c>
      <c r="D892" s="37" t="s">
        <v>777</v>
      </c>
      <c r="E892" s="35" t="n">
        <v>2005</v>
      </c>
      <c r="F892" s="38" t="n">
        <v>5130</v>
      </c>
      <c r="G892" s="39" t="n">
        <v>1</v>
      </c>
      <c r="H892" s="40" t="n">
        <v>480</v>
      </c>
    </row>
    <row r="893" s="33" customFormat="true" ht="14.25" hidden="false" customHeight="false" outlineLevel="0" collapsed="false">
      <c r="A893" s="34" t="n">
        <f aca="false">A892+1</f>
        <v>888</v>
      </c>
      <c r="B893" s="35" t="s">
        <v>345</v>
      </c>
      <c r="C893" s="35" t="str">
        <f aca="false">"0005060"</f>
        <v>0005060</v>
      </c>
      <c r="D893" s="37" t="s">
        <v>778</v>
      </c>
      <c r="E893" s="35" t="n">
        <v>2005</v>
      </c>
      <c r="F893" s="38" t="n">
        <v>4138.6</v>
      </c>
      <c r="G893" s="39" t="n">
        <v>1</v>
      </c>
      <c r="H893" s="40" t="n">
        <v>385</v>
      </c>
    </row>
    <row r="894" s="33" customFormat="true" ht="14.25" hidden="false" customHeight="false" outlineLevel="0" collapsed="false">
      <c r="A894" s="34" t="n">
        <f aca="false">A893+1</f>
        <v>889</v>
      </c>
      <c r="B894" s="35" t="s">
        <v>345</v>
      </c>
      <c r="C894" s="35" t="str">
        <f aca="false">"0005061"</f>
        <v>0005061</v>
      </c>
      <c r="D894" s="37" t="s">
        <v>779</v>
      </c>
      <c r="E894" s="35" t="n">
        <v>2005</v>
      </c>
      <c r="F894" s="38" t="n">
        <v>2351</v>
      </c>
      <c r="G894" s="39" t="n">
        <v>1</v>
      </c>
      <c r="H894" s="40" t="n">
        <v>220</v>
      </c>
    </row>
    <row r="895" s="33" customFormat="true" ht="14.25" hidden="false" customHeight="false" outlineLevel="0" collapsed="false">
      <c r="A895" s="34" t="n">
        <f aca="false">A894+1</f>
        <v>890</v>
      </c>
      <c r="B895" s="35" t="s">
        <v>345</v>
      </c>
      <c r="C895" s="35" t="str">
        <f aca="false">"0005062"</f>
        <v>0005062</v>
      </c>
      <c r="D895" s="37" t="s">
        <v>780</v>
      </c>
      <c r="E895" s="35" t="n">
        <v>2005</v>
      </c>
      <c r="F895" s="38" t="n">
        <v>2624.4</v>
      </c>
      <c r="G895" s="39" t="n">
        <v>1</v>
      </c>
      <c r="H895" s="40" t="n">
        <v>250</v>
      </c>
    </row>
    <row r="896" s="33" customFormat="true" ht="14.25" hidden="false" customHeight="false" outlineLevel="0" collapsed="false">
      <c r="A896" s="34" t="n">
        <f aca="false">A895+1</f>
        <v>891</v>
      </c>
      <c r="B896" s="35" t="s">
        <v>345</v>
      </c>
      <c r="C896" s="35" t="str">
        <f aca="false">"0005064"</f>
        <v>0005064</v>
      </c>
      <c r="D896" s="37" t="s">
        <v>781</v>
      </c>
      <c r="E896" s="35" t="n">
        <v>2005</v>
      </c>
      <c r="F896" s="38" t="n">
        <v>3838</v>
      </c>
      <c r="G896" s="39" t="n">
        <v>1</v>
      </c>
      <c r="H896" s="40" t="n">
        <v>360</v>
      </c>
    </row>
    <row r="897" s="33" customFormat="true" ht="14.25" hidden="false" customHeight="false" outlineLevel="0" collapsed="false">
      <c r="A897" s="34" t="n">
        <f aca="false">A896+1</f>
        <v>892</v>
      </c>
      <c r="B897" s="35" t="s">
        <v>345</v>
      </c>
      <c r="C897" s="35" t="str">
        <f aca="false">"0005065"</f>
        <v>0005065</v>
      </c>
      <c r="D897" s="37" t="s">
        <v>782</v>
      </c>
      <c r="E897" s="35" t="n">
        <v>2005</v>
      </c>
      <c r="F897" s="38" t="n">
        <v>2539.5</v>
      </c>
      <c r="G897" s="39" t="n">
        <v>1</v>
      </c>
      <c r="H897" s="40" t="n">
        <v>240</v>
      </c>
    </row>
    <row r="898" s="33" customFormat="true" ht="14.25" hidden="false" customHeight="false" outlineLevel="0" collapsed="false">
      <c r="A898" s="34" t="n">
        <f aca="false">A897+1</f>
        <v>893</v>
      </c>
      <c r="B898" s="35" t="s">
        <v>345</v>
      </c>
      <c r="C898" s="35" t="str">
        <f aca="false">"0005066"</f>
        <v>0005066</v>
      </c>
      <c r="D898" s="37" t="s">
        <v>783</v>
      </c>
      <c r="E898" s="35" t="n">
        <v>2005</v>
      </c>
      <c r="F898" s="38" t="n">
        <v>1081.78</v>
      </c>
      <c r="G898" s="39" t="n">
        <v>1</v>
      </c>
      <c r="H898" s="40" t="n">
        <v>100</v>
      </c>
    </row>
    <row r="899" s="33" customFormat="true" ht="14.25" hidden="false" customHeight="false" outlineLevel="0" collapsed="false">
      <c r="A899" s="34" t="n">
        <f aca="false">A898+1</f>
        <v>894</v>
      </c>
      <c r="B899" s="35" t="s">
        <v>345</v>
      </c>
      <c r="C899" s="35" t="str">
        <f aca="false">"0005067"</f>
        <v>0005067</v>
      </c>
      <c r="D899" s="37" t="s">
        <v>784</v>
      </c>
      <c r="E899" s="35" t="n">
        <v>2005</v>
      </c>
      <c r="F899" s="38" t="n">
        <v>3982</v>
      </c>
      <c r="G899" s="39" t="n">
        <v>1</v>
      </c>
      <c r="H899" s="40" t="n">
        <v>370</v>
      </c>
    </row>
    <row r="900" s="33" customFormat="true" ht="14.25" hidden="false" customHeight="false" outlineLevel="0" collapsed="false">
      <c r="A900" s="34" t="n">
        <f aca="false">A899+1</f>
        <v>895</v>
      </c>
      <c r="B900" s="35" t="s">
        <v>345</v>
      </c>
      <c r="C900" s="35" t="str">
        <f aca="false">"0005068"</f>
        <v>0005068</v>
      </c>
      <c r="D900" s="37" t="s">
        <v>785</v>
      </c>
      <c r="E900" s="35" t="n">
        <v>2005</v>
      </c>
      <c r="F900" s="38" t="n">
        <v>2930.6</v>
      </c>
      <c r="G900" s="39" t="n">
        <v>2</v>
      </c>
      <c r="H900" s="40" t="n">
        <v>550</v>
      </c>
    </row>
    <row r="901" s="33" customFormat="true" ht="14.25" hidden="false" customHeight="false" outlineLevel="0" collapsed="false">
      <c r="A901" s="34" t="n">
        <f aca="false">A900+1</f>
        <v>896</v>
      </c>
      <c r="B901" s="35" t="s">
        <v>345</v>
      </c>
      <c r="C901" s="35" t="str">
        <f aca="false">"0005070"</f>
        <v>0005070</v>
      </c>
      <c r="D901" s="37" t="s">
        <v>786</v>
      </c>
      <c r="E901" s="35" t="n">
        <v>2005</v>
      </c>
      <c r="F901" s="38" t="n">
        <v>2403.5</v>
      </c>
      <c r="G901" s="39" t="n">
        <v>14</v>
      </c>
      <c r="H901" s="40" t="n">
        <v>3220</v>
      </c>
    </row>
    <row r="902" s="33" customFormat="true" ht="14.25" hidden="false" customHeight="false" outlineLevel="0" collapsed="false">
      <c r="A902" s="34" t="n">
        <f aca="false">A901+1</f>
        <v>897</v>
      </c>
      <c r="B902" s="35" t="s">
        <v>345</v>
      </c>
      <c r="C902" s="35" t="str">
        <f aca="false">"0005147"</f>
        <v>0005147</v>
      </c>
      <c r="D902" s="37" t="s">
        <v>787</v>
      </c>
      <c r="E902" s="35" t="n">
        <v>2005</v>
      </c>
      <c r="F902" s="38" t="n">
        <v>2326.4</v>
      </c>
      <c r="G902" s="39" t="n">
        <v>1</v>
      </c>
      <c r="H902" s="40" t="n">
        <v>220</v>
      </c>
    </row>
    <row r="903" s="33" customFormat="true" ht="14.25" hidden="false" customHeight="false" outlineLevel="0" collapsed="false">
      <c r="A903" s="34" t="n">
        <f aca="false">A902+1</f>
        <v>898</v>
      </c>
      <c r="B903" s="35" t="s">
        <v>345</v>
      </c>
      <c r="C903" s="35" t="str">
        <f aca="false">"0005216"</f>
        <v>0005216</v>
      </c>
      <c r="D903" s="37" t="s">
        <v>788</v>
      </c>
      <c r="E903" s="35" t="n">
        <v>2005</v>
      </c>
      <c r="F903" s="38" t="n">
        <v>3687.5</v>
      </c>
      <c r="G903" s="39" t="n">
        <v>1</v>
      </c>
      <c r="H903" s="40" t="n">
        <v>340</v>
      </c>
    </row>
    <row r="904" s="33" customFormat="true" ht="14.25" hidden="false" customHeight="false" outlineLevel="0" collapsed="false">
      <c r="A904" s="34" t="n">
        <f aca="false">A903+1</f>
        <v>899</v>
      </c>
      <c r="B904" s="35" t="s">
        <v>345</v>
      </c>
      <c r="C904" s="35" t="str">
        <f aca="false">"0005217"</f>
        <v>0005217</v>
      </c>
      <c r="D904" s="37" t="s">
        <v>789</v>
      </c>
      <c r="E904" s="35" t="n">
        <v>2005</v>
      </c>
      <c r="F904" s="38" t="n">
        <v>5922.6</v>
      </c>
      <c r="G904" s="39" t="n">
        <v>1</v>
      </c>
      <c r="H904" s="40" t="n">
        <v>550</v>
      </c>
    </row>
    <row r="905" s="33" customFormat="true" ht="14.25" hidden="false" customHeight="false" outlineLevel="0" collapsed="false">
      <c r="A905" s="34" t="n">
        <f aca="false">A904+1</f>
        <v>900</v>
      </c>
      <c r="B905" s="35" t="s">
        <v>345</v>
      </c>
      <c r="C905" s="35" t="str">
        <f aca="false">"0005218"</f>
        <v>0005218</v>
      </c>
      <c r="D905" s="37" t="s">
        <v>790</v>
      </c>
      <c r="E905" s="35" t="n">
        <v>2005</v>
      </c>
      <c r="F905" s="38" t="n">
        <v>3499</v>
      </c>
      <c r="G905" s="39" t="n">
        <v>1</v>
      </c>
      <c r="H905" s="40" t="n">
        <v>325</v>
      </c>
    </row>
    <row r="906" s="33" customFormat="true" ht="14.25" hidden="false" customHeight="false" outlineLevel="0" collapsed="false">
      <c r="A906" s="34" t="n">
        <f aca="false">A905+1</f>
        <v>901</v>
      </c>
      <c r="B906" s="35" t="s">
        <v>345</v>
      </c>
      <c r="C906" s="35" t="str">
        <f aca="false">"0005256"</f>
        <v>0005256</v>
      </c>
      <c r="D906" s="37" t="s">
        <v>791</v>
      </c>
      <c r="E906" s="35" t="n">
        <v>2005</v>
      </c>
      <c r="F906" s="38" t="n">
        <v>7785</v>
      </c>
      <c r="G906" s="39" t="n">
        <v>2</v>
      </c>
      <c r="H906" s="40" t="n">
        <v>1450</v>
      </c>
    </row>
    <row r="907" s="33" customFormat="true" ht="14.25" hidden="false" customHeight="false" outlineLevel="0" collapsed="false">
      <c r="A907" s="34" t="n">
        <f aca="false">A906+1</f>
        <v>902</v>
      </c>
      <c r="B907" s="35" t="s">
        <v>345</v>
      </c>
      <c r="C907" s="35" t="str">
        <f aca="false">"0005258"</f>
        <v>0005258</v>
      </c>
      <c r="D907" s="37" t="s">
        <v>792</v>
      </c>
      <c r="E907" s="35" t="n">
        <v>2005</v>
      </c>
      <c r="F907" s="38" t="n">
        <v>2732</v>
      </c>
      <c r="G907" s="39" t="n">
        <v>1</v>
      </c>
      <c r="H907" s="40" t="n">
        <v>255</v>
      </c>
    </row>
    <row r="908" s="33" customFormat="true" ht="14.25" hidden="false" customHeight="false" outlineLevel="0" collapsed="false">
      <c r="A908" s="34" t="n">
        <f aca="false">A907+1</f>
        <v>903</v>
      </c>
      <c r="B908" s="35" t="s">
        <v>345</v>
      </c>
      <c r="C908" s="35" t="str">
        <f aca="false">"0005259"</f>
        <v>0005259</v>
      </c>
      <c r="D908" s="37" t="s">
        <v>793</v>
      </c>
      <c r="E908" s="35" t="n">
        <v>2005</v>
      </c>
      <c r="F908" s="38" t="n">
        <v>2351</v>
      </c>
      <c r="G908" s="39" t="n">
        <v>1</v>
      </c>
      <c r="H908" s="40" t="n">
        <v>220</v>
      </c>
    </row>
    <row r="909" s="33" customFormat="true" ht="14.25" hidden="false" customHeight="false" outlineLevel="0" collapsed="false">
      <c r="A909" s="34" t="n">
        <f aca="false">A908+1</f>
        <v>904</v>
      </c>
      <c r="B909" s="35" t="s">
        <v>345</v>
      </c>
      <c r="C909" s="35" t="str">
        <f aca="false">"0005261"</f>
        <v>0005261</v>
      </c>
      <c r="D909" s="37" t="s">
        <v>794</v>
      </c>
      <c r="E909" s="35" t="n">
        <v>2005</v>
      </c>
      <c r="F909" s="38" t="n">
        <v>26829.16</v>
      </c>
      <c r="G909" s="39" t="n">
        <v>1</v>
      </c>
      <c r="H909" s="40" t="n">
        <v>2490</v>
      </c>
    </row>
    <row r="910" s="33" customFormat="true" ht="14.25" hidden="false" customHeight="false" outlineLevel="0" collapsed="false">
      <c r="A910" s="34" t="n">
        <f aca="false">A909+1</f>
        <v>905</v>
      </c>
      <c r="B910" s="35" t="s">
        <v>345</v>
      </c>
      <c r="C910" s="35" t="str">
        <f aca="false">"0005416"</f>
        <v>0005416</v>
      </c>
      <c r="D910" s="37" t="s">
        <v>795</v>
      </c>
      <c r="E910" s="35" t="n">
        <v>2006</v>
      </c>
      <c r="F910" s="38" t="n">
        <v>3270.5</v>
      </c>
      <c r="G910" s="39" t="n">
        <v>2</v>
      </c>
      <c r="H910" s="40" t="n">
        <v>670</v>
      </c>
    </row>
    <row r="911" s="33" customFormat="true" ht="14.25" hidden="false" customHeight="false" outlineLevel="0" collapsed="false">
      <c r="A911" s="34" t="n">
        <f aca="false">A910+1</f>
        <v>906</v>
      </c>
      <c r="B911" s="35" t="s">
        <v>345</v>
      </c>
      <c r="C911" s="35" t="str">
        <f aca="false">"0005418"</f>
        <v>0005418</v>
      </c>
      <c r="D911" s="37" t="s">
        <v>796</v>
      </c>
      <c r="E911" s="35" t="n">
        <v>2006</v>
      </c>
      <c r="F911" s="38" t="n">
        <v>13357</v>
      </c>
      <c r="G911" s="39" t="n">
        <v>1</v>
      </c>
      <c r="H911" s="40" t="n">
        <v>1370</v>
      </c>
    </row>
    <row r="912" s="33" customFormat="true" ht="14.25" hidden="false" customHeight="false" outlineLevel="0" collapsed="false">
      <c r="A912" s="34" t="n">
        <f aca="false">A911+1</f>
        <v>907</v>
      </c>
      <c r="B912" s="35" t="s">
        <v>345</v>
      </c>
      <c r="C912" s="35" t="str">
        <f aca="false">"0005420"</f>
        <v>0005420</v>
      </c>
      <c r="D912" s="37" t="s">
        <v>797</v>
      </c>
      <c r="E912" s="35" t="n">
        <v>2006</v>
      </c>
      <c r="F912" s="38" t="n">
        <v>7221</v>
      </c>
      <c r="G912" s="39" t="n">
        <v>1</v>
      </c>
      <c r="H912" s="40" t="n">
        <v>740</v>
      </c>
    </row>
    <row r="913" s="33" customFormat="true" ht="14.25" hidden="false" customHeight="false" outlineLevel="0" collapsed="false">
      <c r="A913" s="34" t="n">
        <f aca="false">A912+1</f>
        <v>908</v>
      </c>
      <c r="B913" s="35" t="s">
        <v>345</v>
      </c>
      <c r="C913" s="35" t="str">
        <f aca="false">"0005421"</f>
        <v>0005421</v>
      </c>
      <c r="D913" s="37" t="s">
        <v>622</v>
      </c>
      <c r="E913" s="35" t="n">
        <v>2006</v>
      </c>
      <c r="F913" s="38" t="n">
        <v>9423.6</v>
      </c>
      <c r="G913" s="39" t="n">
        <v>1</v>
      </c>
      <c r="H913" s="40" t="n">
        <v>970</v>
      </c>
    </row>
    <row r="914" s="33" customFormat="true" ht="14.25" hidden="false" customHeight="false" outlineLevel="0" collapsed="false">
      <c r="A914" s="34" t="n">
        <f aca="false">A913+1</f>
        <v>909</v>
      </c>
      <c r="B914" s="35" t="s">
        <v>345</v>
      </c>
      <c r="C914" s="35" t="str">
        <f aca="false">"0005498"</f>
        <v>0005498</v>
      </c>
      <c r="D914" s="37" t="s">
        <v>798</v>
      </c>
      <c r="E914" s="35" t="n">
        <v>2006</v>
      </c>
      <c r="F914" s="38" t="n">
        <v>4384.8</v>
      </c>
      <c r="G914" s="39" t="n">
        <v>2</v>
      </c>
      <c r="H914" s="40" t="n">
        <v>900</v>
      </c>
    </row>
    <row r="915" s="33" customFormat="true" ht="14.25" hidden="false" customHeight="false" outlineLevel="0" collapsed="false">
      <c r="A915" s="34" t="n">
        <f aca="false">A914+1</f>
        <v>910</v>
      </c>
      <c r="B915" s="35" t="s">
        <v>345</v>
      </c>
      <c r="C915" s="35" t="str">
        <f aca="false">"0005500"</f>
        <v>0005500</v>
      </c>
      <c r="D915" s="37" t="s">
        <v>799</v>
      </c>
      <c r="E915" s="35" t="n">
        <v>2006</v>
      </c>
      <c r="F915" s="38" t="n">
        <v>4850</v>
      </c>
      <c r="G915" s="39" t="n">
        <v>1</v>
      </c>
      <c r="H915" s="40" t="n">
        <v>500</v>
      </c>
    </row>
    <row r="916" s="33" customFormat="true" ht="14.25" hidden="false" customHeight="false" outlineLevel="0" collapsed="false">
      <c r="A916" s="34" t="n">
        <f aca="false">A915+1</f>
        <v>911</v>
      </c>
      <c r="B916" s="35" t="s">
        <v>345</v>
      </c>
      <c r="C916" s="35" t="str">
        <f aca="false">"0005502"</f>
        <v>0005502</v>
      </c>
      <c r="D916" s="37" t="s">
        <v>751</v>
      </c>
      <c r="E916" s="35" t="n">
        <v>2006</v>
      </c>
      <c r="F916" s="38" t="n">
        <v>10540.44</v>
      </c>
      <c r="G916" s="39" t="n">
        <v>1</v>
      </c>
      <c r="H916" s="40" t="n">
        <v>1100</v>
      </c>
    </row>
    <row r="917" s="33" customFormat="true" ht="14.25" hidden="false" customHeight="false" outlineLevel="0" collapsed="false">
      <c r="A917" s="34" t="n">
        <f aca="false">A916+1</f>
        <v>912</v>
      </c>
      <c r="B917" s="35" t="s">
        <v>345</v>
      </c>
      <c r="C917" s="35" t="str">
        <f aca="false">"0005525"</f>
        <v>0005525</v>
      </c>
      <c r="D917" s="37" t="s">
        <v>706</v>
      </c>
      <c r="E917" s="35" t="n">
        <v>2006</v>
      </c>
      <c r="F917" s="38" t="n">
        <v>3333.3</v>
      </c>
      <c r="G917" s="39" t="n">
        <v>1</v>
      </c>
      <c r="H917" s="40" t="n">
        <v>340</v>
      </c>
    </row>
    <row r="918" s="33" customFormat="true" ht="14.25" hidden="false" customHeight="false" outlineLevel="0" collapsed="false">
      <c r="A918" s="34" t="n">
        <f aca="false">A917+1</f>
        <v>913</v>
      </c>
      <c r="B918" s="35" t="s">
        <v>345</v>
      </c>
      <c r="C918" s="35" t="str">
        <f aca="false">"0005526"</f>
        <v>0005526</v>
      </c>
      <c r="D918" s="37" t="s">
        <v>800</v>
      </c>
      <c r="E918" s="35" t="n">
        <v>2006</v>
      </c>
      <c r="F918" s="38" t="n">
        <v>2310.4</v>
      </c>
      <c r="G918" s="39" t="n">
        <v>1</v>
      </c>
      <c r="H918" s="40" t="n">
        <v>240</v>
      </c>
    </row>
    <row r="919" s="33" customFormat="true" ht="14.25" hidden="false" customHeight="false" outlineLevel="0" collapsed="false">
      <c r="A919" s="34" t="n">
        <f aca="false">A918+1</f>
        <v>914</v>
      </c>
      <c r="B919" s="35" t="s">
        <v>345</v>
      </c>
      <c r="C919" s="35" t="str">
        <f aca="false">"0005563"</f>
        <v>0005563</v>
      </c>
      <c r="D919" s="37" t="s">
        <v>801</v>
      </c>
      <c r="E919" s="35" t="n">
        <v>2006</v>
      </c>
      <c r="F919" s="38" t="n">
        <v>3496</v>
      </c>
      <c r="G919" s="39" t="n">
        <v>1</v>
      </c>
      <c r="H919" s="40" t="n">
        <v>360</v>
      </c>
    </row>
    <row r="920" s="33" customFormat="true" ht="14.25" hidden="false" customHeight="false" outlineLevel="0" collapsed="false">
      <c r="A920" s="34" t="n">
        <f aca="false">A919+1</f>
        <v>915</v>
      </c>
      <c r="B920" s="35" t="s">
        <v>345</v>
      </c>
      <c r="C920" s="35" t="str">
        <f aca="false">"0005564"</f>
        <v>0005564</v>
      </c>
      <c r="D920" s="37" t="s">
        <v>802</v>
      </c>
      <c r="E920" s="35" t="n">
        <v>2006</v>
      </c>
      <c r="F920" s="38" t="n">
        <v>2944</v>
      </c>
      <c r="G920" s="39" t="n">
        <v>1</v>
      </c>
      <c r="H920" s="40" t="n">
        <v>300</v>
      </c>
    </row>
    <row r="921" s="33" customFormat="true" ht="14.25" hidden="false" customHeight="false" outlineLevel="0" collapsed="false">
      <c r="A921" s="34" t="n">
        <f aca="false">A920+1</f>
        <v>916</v>
      </c>
      <c r="B921" s="35" t="s">
        <v>345</v>
      </c>
      <c r="C921" s="35" t="str">
        <f aca="false">"0005579"</f>
        <v>0005579</v>
      </c>
      <c r="D921" s="37" t="s">
        <v>803</v>
      </c>
      <c r="E921" s="35" t="n">
        <v>2006</v>
      </c>
      <c r="F921" s="38" t="n">
        <v>4985</v>
      </c>
      <c r="G921" s="39" t="n">
        <v>1</v>
      </c>
      <c r="H921" s="40" t="n">
        <v>510</v>
      </c>
    </row>
    <row r="922" s="33" customFormat="true" ht="14.25" hidden="false" customHeight="false" outlineLevel="0" collapsed="false">
      <c r="A922" s="34" t="n">
        <f aca="false">A921+1</f>
        <v>917</v>
      </c>
      <c r="B922" s="35" t="s">
        <v>345</v>
      </c>
      <c r="C922" s="35" t="str">
        <f aca="false">"0005580"</f>
        <v>0005580</v>
      </c>
      <c r="D922" s="37" t="s">
        <v>804</v>
      </c>
      <c r="E922" s="35" t="n">
        <v>2006</v>
      </c>
      <c r="F922" s="38" t="n">
        <v>15838.4</v>
      </c>
      <c r="G922" s="39" t="n">
        <v>1</v>
      </c>
      <c r="H922" s="40" t="n">
        <v>1630</v>
      </c>
    </row>
    <row r="923" s="33" customFormat="true" ht="14.25" hidden="false" customHeight="false" outlineLevel="0" collapsed="false">
      <c r="A923" s="34" t="n">
        <f aca="false">A922+1</f>
        <v>918</v>
      </c>
      <c r="B923" s="35" t="s">
        <v>345</v>
      </c>
      <c r="C923" s="35" t="str">
        <f aca="false">"0005581"</f>
        <v>0005581</v>
      </c>
      <c r="D923" s="37" t="s">
        <v>805</v>
      </c>
      <c r="E923" s="35" t="n">
        <v>2006</v>
      </c>
      <c r="F923" s="38" t="n">
        <v>4666.4</v>
      </c>
      <c r="G923" s="39" t="n">
        <v>1</v>
      </c>
      <c r="H923" s="40" t="n">
        <v>480</v>
      </c>
    </row>
    <row r="924" s="33" customFormat="true" ht="14.25" hidden="false" customHeight="false" outlineLevel="0" collapsed="false">
      <c r="A924" s="34" t="n">
        <f aca="false">A923+1</f>
        <v>919</v>
      </c>
      <c r="B924" s="35" t="s">
        <v>345</v>
      </c>
      <c r="C924" s="35" t="str">
        <f aca="false">"0005582"</f>
        <v>0005582</v>
      </c>
      <c r="D924" s="37" t="s">
        <v>806</v>
      </c>
      <c r="E924" s="35" t="n">
        <v>2006</v>
      </c>
      <c r="F924" s="38" t="n">
        <v>4666.4</v>
      </c>
      <c r="G924" s="39" t="n">
        <v>2</v>
      </c>
      <c r="H924" s="40" t="n">
        <v>960</v>
      </c>
    </row>
    <row r="925" s="33" customFormat="true" ht="14.25" hidden="false" customHeight="false" outlineLevel="0" collapsed="false">
      <c r="A925" s="34" t="n">
        <f aca="false">A924+1</f>
        <v>920</v>
      </c>
      <c r="B925" s="35" t="s">
        <v>345</v>
      </c>
      <c r="C925" s="35" t="str">
        <f aca="false">"0005597"</f>
        <v>0005597</v>
      </c>
      <c r="D925" s="37" t="s">
        <v>807</v>
      </c>
      <c r="E925" s="35" t="n">
        <v>2006</v>
      </c>
      <c r="F925" s="38" t="n">
        <v>5630.09</v>
      </c>
      <c r="G925" s="39" t="n">
        <v>2</v>
      </c>
      <c r="H925" s="40" t="n">
        <v>1160</v>
      </c>
    </row>
    <row r="926" s="33" customFormat="true" ht="14.25" hidden="false" customHeight="false" outlineLevel="0" collapsed="false">
      <c r="A926" s="34" t="n">
        <f aca="false">A925+1</f>
        <v>921</v>
      </c>
      <c r="B926" s="35" t="s">
        <v>345</v>
      </c>
      <c r="C926" s="35" t="str">
        <f aca="false">"0005599"</f>
        <v>0005599</v>
      </c>
      <c r="D926" s="37" t="s">
        <v>808</v>
      </c>
      <c r="E926" s="35" t="n">
        <v>2006</v>
      </c>
      <c r="F926" s="38" t="n">
        <v>6489.98</v>
      </c>
      <c r="G926" s="39" t="n">
        <v>1</v>
      </c>
      <c r="H926" s="40" t="n">
        <v>665</v>
      </c>
    </row>
    <row r="927" s="33" customFormat="true" ht="14.25" hidden="false" customHeight="false" outlineLevel="0" collapsed="false">
      <c r="A927" s="34" t="n">
        <f aca="false">A926+1</f>
        <v>922</v>
      </c>
      <c r="B927" s="35" t="s">
        <v>345</v>
      </c>
      <c r="C927" s="35" t="str">
        <f aca="false">"0005601"</f>
        <v>0005601</v>
      </c>
      <c r="D927" s="37" t="s">
        <v>809</v>
      </c>
      <c r="E927" s="35" t="n">
        <v>2006</v>
      </c>
      <c r="F927" s="38" t="n">
        <v>5922.6</v>
      </c>
      <c r="G927" s="39" t="n">
        <v>1</v>
      </c>
      <c r="H927" s="40" t="n">
        <v>605</v>
      </c>
    </row>
    <row r="928" s="33" customFormat="true" ht="14.25" hidden="false" customHeight="false" outlineLevel="0" collapsed="false">
      <c r="A928" s="34" t="n">
        <f aca="false">A927+1</f>
        <v>923</v>
      </c>
      <c r="B928" s="35" t="s">
        <v>345</v>
      </c>
      <c r="C928" s="35" t="str">
        <f aca="false">"0005602"</f>
        <v>0005602</v>
      </c>
      <c r="D928" s="37" t="s">
        <v>810</v>
      </c>
      <c r="E928" s="35" t="n">
        <v>2006</v>
      </c>
      <c r="F928" s="38" t="n">
        <v>13447.5</v>
      </c>
      <c r="G928" s="39" t="n">
        <v>1</v>
      </c>
      <c r="H928" s="40" t="n">
        <v>1380</v>
      </c>
    </row>
    <row r="929" s="33" customFormat="true" ht="14.25" hidden="false" customHeight="false" outlineLevel="0" collapsed="false">
      <c r="A929" s="34" t="n">
        <f aca="false">A928+1</f>
        <v>924</v>
      </c>
      <c r="B929" s="35" t="s">
        <v>345</v>
      </c>
      <c r="C929" s="35" t="str">
        <f aca="false">"0005611"</f>
        <v>0005611</v>
      </c>
      <c r="D929" s="37" t="s">
        <v>811</v>
      </c>
      <c r="E929" s="35" t="n">
        <v>2006</v>
      </c>
      <c r="F929" s="38" t="n">
        <v>19819</v>
      </c>
      <c r="G929" s="39" t="n">
        <v>1</v>
      </c>
      <c r="H929" s="40" t="n">
        <v>2030</v>
      </c>
    </row>
    <row r="930" s="33" customFormat="true" ht="14.25" hidden="false" customHeight="false" outlineLevel="0" collapsed="false">
      <c r="A930" s="34" t="n">
        <f aca="false">A929+1</f>
        <v>925</v>
      </c>
      <c r="B930" s="35" t="s">
        <v>345</v>
      </c>
      <c r="C930" s="35" t="str">
        <f aca="false">"0005678"</f>
        <v>0005678</v>
      </c>
      <c r="D930" s="37" t="s">
        <v>344</v>
      </c>
      <c r="E930" s="35" t="n">
        <v>2006</v>
      </c>
      <c r="F930" s="38" t="n">
        <v>3220.1</v>
      </c>
      <c r="G930" s="39" t="n">
        <v>1</v>
      </c>
      <c r="H930" s="40" t="n">
        <v>330</v>
      </c>
    </row>
    <row r="931" s="33" customFormat="true" ht="14.25" hidden="false" customHeight="false" outlineLevel="0" collapsed="false">
      <c r="A931" s="34" t="n">
        <f aca="false">A930+1</f>
        <v>926</v>
      </c>
      <c r="B931" s="35" t="s">
        <v>345</v>
      </c>
      <c r="C931" s="35" t="str">
        <f aca="false">"0005679"</f>
        <v>0005679</v>
      </c>
      <c r="D931" s="37" t="s">
        <v>812</v>
      </c>
      <c r="E931" s="35" t="n">
        <v>2006</v>
      </c>
      <c r="F931" s="38" t="n">
        <v>7268.65</v>
      </c>
      <c r="G931" s="39" t="n">
        <v>4</v>
      </c>
      <c r="H931" s="40" t="n">
        <v>3000</v>
      </c>
    </row>
    <row r="932" s="33" customFormat="true" ht="14.25" hidden="false" customHeight="false" outlineLevel="0" collapsed="false">
      <c r="A932" s="34" t="n">
        <f aca="false">A931+1</f>
        <v>927</v>
      </c>
      <c r="B932" s="35" t="s">
        <v>345</v>
      </c>
      <c r="C932" s="35" t="str">
        <f aca="false">"0005683"</f>
        <v>0005683</v>
      </c>
      <c r="D932" s="37" t="s">
        <v>813</v>
      </c>
      <c r="E932" s="35" t="n">
        <v>2006</v>
      </c>
      <c r="F932" s="38" t="n">
        <v>7241.4</v>
      </c>
      <c r="G932" s="39" t="n">
        <v>2</v>
      </c>
      <c r="H932" s="40" t="n">
        <v>1500</v>
      </c>
    </row>
    <row r="933" s="33" customFormat="true" ht="14.25" hidden="false" customHeight="false" outlineLevel="0" collapsed="false">
      <c r="A933" s="34" t="n">
        <f aca="false">A932+1</f>
        <v>928</v>
      </c>
      <c r="B933" s="35" t="s">
        <v>345</v>
      </c>
      <c r="C933" s="35" t="str">
        <f aca="false">"0005685"</f>
        <v>0005685</v>
      </c>
      <c r="D933" s="37" t="s">
        <v>813</v>
      </c>
      <c r="E933" s="35" t="n">
        <v>2006</v>
      </c>
      <c r="F933" s="38" t="n">
        <v>13484.5</v>
      </c>
      <c r="G933" s="39" t="n">
        <v>1</v>
      </c>
      <c r="H933" s="40" t="n">
        <v>1380</v>
      </c>
    </row>
    <row r="934" s="33" customFormat="true" ht="14.25" hidden="false" customHeight="false" outlineLevel="0" collapsed="false">
      <c r="A934" s="34" t="n">
        <f aca="false">A933+1</f>
        <v>929</v>
      </c>
      <c r="B934" s="35" t="s">
        <v>345</v>
      </c>
      <c r="C934" s="35" t="str">
        <f aca="false">"0005686"</f>
        <v>0005686</v>
      </c>
      <c r="D934" s="37" t="s">
        <v>814</v>
      </c>
      <c r="E934" s="35" t="n">
        <v>2006</v>
      </c>
      <c r="F934" s="38" t="n">
        <v>11984.2</v>
      </c>
      <c r="G934" s="39" t="n">
        <v>2</v>
      </c>
      <c r="H934" s="40" t="n">
        <v>2460</v>
      </c>
    </row>
    <row r="935" s="33" customFormat="true" ht="14.25" hidden="false" customHeight="false" outlineLevel="0" collapsed="false">
      <c r="A935" s="34" t="n">
        <f aca="false">A934+1</f>
        <v>930</v>
      </c>
      <c r="B935" s="35" t="s">
        <v>345</v>
      </c>
      <c r="C935" s="35" t="str">
        <f aca="false">"0005688"</f>
        <v>0005688</v>
      </c>
      <c r="D935" s="37" t="s">
        <v>815</v>
      </c>
      <c r="E935" s="35" t="n">
        <v>2006</v>
      </c>
      <c r="F935" s="38" t="n">
        <v>5630.09</v>
      </c>
      <c r="G935" s="39" t="n">
        <v>2</v>
      </c>
      <c r="H935" s="40" t="n">
        <v>1160</v>
      </c>
    </row>
    <row r="936" s="33" customFormat="true" ht="14.25" hidden="false" customHeight="false" outlineLevel="0" collapsed="false">
      <c r="A936" s="34" t="n">
        <f aca="false">A935+1</f>
        <v>931</v>
      </c>
      <c r="B936" s="35" t="s">
        <v>345</v>
      </c>
      <c r="C936" s="35" t="str">
        <f aca="false">"0005690"</f>
        <v>0005690</v>
      </c>
      <c r="D936" s="37" t="s">
        <v>808</v>
      </c>
      <c r="E936" s="35" t="n">
        <v>2006</v>
      </c>
      <c r="F936" s="38" t="n">
        <v>6489.98</v>
      </c>
      <c r="G936" s="39" t="n">
        <v>1</v>
      </c>
      <c r="H936" s="40" t="n">
        <v>665</v>
      </c>
    </row>
    <row r="937" s="33" customFormat="true" ht="14.25" hidden="false" customHeight="false" outlineLevel="0" collapsed="false">
      <c r="A937" s="34" t="n">
        <f aca="false">A936+1</f>
        <v>932</v>
      </c>
      <c r="B937" s="35" t="s">
        <v>345</v>
      </c>
      <c r="C937" s="35" t="str">
        <f aca="false">"0005697"</f>
        <v>0005697</v>
      </c>
      <c r="D937" s="37" t="s">
        <v>816</v>
      </c>
      <c r="E937" s="35" t="n">
        <v>2006</v>
      </c>
      <c r="F937" s="38" t="n">
        <v>6350</v>
      </c>
      <c r="G937" s="39" t="n">
        <v>2</v>
      </c>
      <c r="H937" s="40" t="n">
        <v>1300</v>
      </c>
    </row>
    <row r="938" s="33" customFormat="true" ht="14.25" hidden="false" customHeight="false" outlineLevel="0" collapsed="false">
      <c r="A938" s="34" t="n">
        <f aca="false">A937+1</f>
        <v>933</v>
      </c>
      <c r="B938" s="35" t="s">
        <v>345</v>
      </c>
      <c r="C938" s="35" t="str">
        <f aca="false">"0005699"</f>
        <v>0005699</v>
      </c>
      <c r="D938" s="37" t="s">
        <v>817</v>
      </c>
      <c r="E938" s="35" t="n">
        <v>2006</v>
      </c>
      <c r="F938" s="38" t="n">
        <v>2169.96</v>
      </c>
      <c r="G938" s="39" t="n">
        <v>1</v>
      </c>
      <c r="H938" s="40" t="n">
        <v>220</v>
      </c>
    </row>
    <row r="939" s="33" customFormat="true" ht="14.25" hidden="false" customHeight="false" outlineLevel="0" collapsed="false">
      <c r="A939" s="34" t="n">
        <f aca="false">A938+1</f>
        <v>934</v>
      </c>
      <c r="B939" s="35" t="s">
        <v>345</v>
      </c>
      <c r="C939" s="35" t="str">
        <f aca="false">"0034629"</f>
        <v>0034629</v>
      </c>
      <c r="D939" s="37" t="s">
        <v>818</v>
      </c>
      <c r="E939" s="35" t="n">
        <v>2006</v>
      </c>
      <c r="F939" s="38" t="n">
        <v>9684.2</v>
      </c>
      <c r="G939" s="39" t="n">
        <v>1</v>
      </c>
      <c r="H939" s="40" t="n">
        <v>990</v>
      </c>
    </row>
    <row r="940" s="33" customFormat="true" ht="14.25" hidden="false" customHeight="false" outlineLevel="0" collapsed="false">
      <c r="A940" s="34" t="n">
        <f aca="false">A939+1</f>
        <v>935</v>
      </c>
      <c r="B940" s="35" t="s">
        <v>345</v>
      </c>
      <c r="C940" s="35" t="str">
        <f aca="false">"0034630"</f>
        <v>0034630</v>
      </c>
      <c r="D940" s="37" t="s">
        <v>819</v>
      </c>
      <c r="E940" s="35" t="n">
        <v>2006</v>
      </c>
      <c r="F940" s="38" t="n">
        <v>16999</v>
      </c>
      <c r="G940" s="39" t="n">
        <v>1</v>
      </c>
      <c r="H940" s="40" t="n">
        <v>1740</v>
      </c>
    </row>
    <row r="941" s="33" customFormat="true" ht="14.25" hidden="false" customHeight="false" outlineLevel="0" collapsed="false">
      <c r="A941" s="34" t="n">
        <f aca="false">A940+1</f>
        <v>936</v>
      </c>
      <c r="B941" s="35" t="s">
        <v>345</v>
      </c>
      <c r="C941" s="35" t="str">
        <f aca="false">"0034631"</f>
        <v>0034631</v>
      </c>
      <c r="D941" s="37" t="s">
        <v>820</v>
      </c>
      <c r="E941" s="35" t="n">
        <v>2006</v>
      </c>
      <c r="F941" s="38" t="n">
        <v>2358.7</v>
      </c>
      <c r="G941" s="39" t="n">
        <v>1</v>
      </c>
      <c r="H941" s="40" t="n">
        <v>240</v>
      </c>
    </row>
    <row r="942" s="33" customFormat="true" ht="14.25" hidden="false" customHeight="false" outlineLevel="0" collapsed="false">
      <c r="A942" s="34" t="n">
        <f aca="false">A941+1</f>
        <v>937</v>
      </c>
      <c r="B942" s="35" t="s">
        <v>345</v>
      </c>
      <c r="C942" s="35" t="str">
        <f aca="false">"0034632"</f>
        <v>0034632</v>
      </c>
      <c r="D942" s="37" t="s">
        <v>821</v>
      </c>
      <c r="E942" s="35" t="n">
        <v>2006</v>
      </c>
      <c r="F942" s="38" t="n">
        <v>3087.6</v>
      </c>
      <c r="G942" s="39" t="n">
        <v>2</v>
      </c>
      <c r="H942" s="40" t="n">
        <v>640</v>
      </c>
    </row>
    <row r="943" s="33" customFormat="true" ht="14.25" hidden="false" customHeight="false" outlineLevel="0" collapsed="false">
      <c r="A943" s="34" t="n">
        <f aca="false">A942+1</f>
        <v>938</v>
      </c>
      <c r="B943" s="35" t="s">
        <v>345</v>
      </c>
      <c r="C943" s="35" t="str">
        <f aca="false">"0035174"</f>
        <v>0035174</v>
      </c>
      <c r="D943" s="37" t="s">
        <v>822</v>
      </c>
      <c r="E943" s="35" t="n">
        <v>2006</v>
      </c>
      <c r="F943" s="38" t="n">
        <v>124506</v>
      </c>
      <c r="G943" s="39" t="n">
        <v>1</v>
      </c>
      <c r="H943" s="40" t="n">
        <v>12750</v>
      </c>
    </row>
    <row r="944" s="33" customFormat="true" ht="14.25" hidden="false" customHeight="false" outlineLevel="0" collapsed="false">
      <c r="A944" s="34" t="n">
        <f aca="false">A943+1</f>
        <v>939</v>
      </c>
      <c r="B944" s="35" t="s">
        <v>345</v>
      </c>
      <c r="C944" s="35" t="str">
        <f aca="false">"0035182"</f>
        <v>0035182</v>
      </c>
      <c r="D944" s="37" t="s">
        <v>823</v>
      </c>
      <c r="E944" s="35" t="n">
        <v>2007</v>
      </c>
      <c r="F944" s="38" t="n">
        <v>2112.3</v>
      </c>
      <c r="G944" s="39" t="n">
        <v>4</v>
      </c>
      <c r="H944" s="40" t="n">
        <v>960</v>
      </c>
    </row>
    <row r="945" s="33" customFormat="true" ht="14.25" hidden="false" customHeight="false" outlineLevel="0" collapsed="false">
      <c r="A945" s="34" t="n">
        <f aca="false">A944+1</f>
        <v>940</v>
      </c>
      <c r="B945" s="35" t="s">
        <v>345</v>
      </c>
      <c r="C945" s="35" t="str">
        <f aca="false">"0035186"</f>
        <v>0035186</v>
      </c>
      <c r="D945" s="37" t="s">
        <v>824</v>
      </c>
      <c r="E945" s="35" t="n">
        <v>2007</v>
      </c>
      <c r="F945" s="38" t="n">
        <v>9701.6</v>
      </c>
      <c r="G945" s="39" t="n">
        <v>1</v>
      </c>
      <c r="H945" s="40" t="n">
        <v>1100</v>
      </c>
    </row>
    <row r="946" s="33" customFormat="true" ht="14.25" hidden="false" customHeight="false" outlineLevel="0" collapsed="false">
      <c r="A946" s="34" t="n">
        <f aca="false">A945+1</f>
        <v>941</v>
      </c>
      <c r="B946" s="35" t="s">
        <v>345</v>
      </c>
      <c r="C946" s="35" t="str">
        <f aca="false">"0035188"</f>
        <v>0035188</v>
      </c>
      <c r="D946" s="37" t="s">
        <v>825</v>
      </c>
      <c r="E946" s="35" t="n">
        <v>2007</v>
      </c>
      <c r="F946" s="38" t="n">
        <v>2790</v>
      </c>
      <c r="G946" s="39" t="n">
        <v>1</v>
      </c>
      <c r="H946" s="40" t="n">
        <v>315</v>
      </c>
    </row>
    <row r="947" s="33" customFormat="true" ht="14.25" hidden="false" customHeight="false" outlineLevel="0" collapsed="false">
      <c r="A947" s="34" t="n">
        <f aca="false">A946+1</f>
        <v>942</v>
      </c>
      <c r="B947" s="35" t="s">
        <v>345</v>
      </c>
      <c r="C947" s="35" t="str">
        <f aca="false">"0035200"</f>
        <v>0035200</v>
      </c>
      <c r="D947" s="37" t="s">
        <v>826</v>
      </c>
      <c r="E947" s="35" t="n">
        <v>2007</v>
      </c>
      <c r="F947" s="38" t="n">
        <v>2112.3</v>
      </c>
      <c r="G947" s="39" t="n">
        <v>1</v>
      </c>
      <c r="H947" s="40" t="n">
        <v>240</v>
      </c>
    </row>
    <row r="948" s="33" customFormat="true" ht="14.25" hidden="false" customHeight="false" outlineLevel="0" collapsed="false">
      <c r="A948" s="34" t="n">
        <f aca="false">A947+1</f>
        <v>943</v>
      </c>
      <c r="B948" s="35" t="s">
        <v>345</v>
      </c>
      <c r="C948" s="35" t="str">
        <f aca="false">"0035202"</f>
        <v>0035202</v>
      </c>
      <c r="D948" s="37" t="s">
        <v>827</v>
      </c>
      <c r="E948" s="35" t="n">
        <v>2007</v>
      </c>
      <c r="F948" s="38" t="n">
        <v>6630.6</v>
      </c>
      <c r="G948" s="39" t="n">
        <v>1</v>
      </c>
      <c r="H948" s="40" t="n">
        <v>745</v>
      </c>
    </row>
    <row r="949" s="33" customFormat="true" ht="14.25" hidden="false" customHeight="false" outlineLevel="0" collapsed="false">
      <c r="A949" s="34" t="n">
        <f aca="false">A948+1</f>
        <v>944</v>
      </c>
      <c r="B949" s="35" t="s">
        <v>345</v>
      </c>
      <c r="C949" s="35" t="str">
        <f aca="false">"0035244"</f>
        <v>0035244</v>
      </c>
      <c r="D949" s="37" t="s">
        <v>828</v>
      </c>
      <c r="E949" s="35" t="n">
        <v>2007</v>
      </c>
      <c r="F949" s="38" t="n">
        <v>13044.08</v>
      </c>
      <c r="G949" s="39" t="n">
        <v>2</v>
      </c>
      <c r="H949" s="40" t="n">
        <v>2920</v>
      </c>
    </row>
    <row r="950" s="33" customFormat="true" ht="14.25" hidden="false" customHeight="false" outlineLevel="0" collapsed="false">
      <c r="A950" s="34" t="n">
        <f aca="false">A949+1</f>
        <v>945</v>
      </c>
      <c r="B950" s="35" t="s">
        <v>345</v>
      </c>
      <c r="C950" s="35" t="str">
        <f aca="false">"0035252"</f>
        <v>0035252</v>
      </c>
      <c r="D950" s="37" t="s">
        <v>829</v>
      </c>
      <c r="E950" s="35" t="n">
        <v>2007</v>
      </c>
      <c r="F950" s="38" t="n">
        <v>4329.4</v>
      </c>
      <c r="G950" s="39" t="n">
        <v>1</v>
      </c>
      <c r="H950" s="40" t="n">
        <v>485</v>
      </c>
    </row>
    <row r="951" s="33" customFormat="true" ht="14.25" hidden="false" customHeight="false" outlineLevel="0" collapsed="false">
      <c r="A951" s="34" t="n">
        <f aca="false">A950+1</f>
        <v>946</v>
      </c>
      <c r="B951" s="35" t="s">
        <v>345</v>
      </c>
      <c r="C951" s="35" t="str">
        <f aca="false">"0035510"</f>
        <v>0035510</v>
      </c>
      <c r="D951" s="37" t="s">
        <v>731</v>
      </c>
      <c r="E951" s="35" t="n">
        <v>2007</v>
      </c>
      <c r="F951" s="38" t="n">
        <v>4364.25</v>
      </c>
      <c r="G951" s="39" t="n">
        <v>1</v>
      </c>
      <c r="H951" s="40" t="n">
        <v>500</v>
      </c>
    </row>
    <row r="952" s="33" customFormat="true" ht="14.25" hidden="false" customHeight="false" outlineLevel="0" collapsed="false">
      <c r="A952" s="34" t="n">
        <f aca="false">A951+1</f>
        <v>947</v>
      </c>
      <c r="B952" s="35" t="s">
        <v>345</v>
      </c>
      <c r="C952" s="35" t="str">
        <f aca="false">"0035579"</f>
        <v>0035579</v>
      </c>
      <c r="D952" s="37" t="s">
        <v>830</v>
      </c>
      <c r="E952" s="35" t="n">
        <v>2007</v>
      </c>
      <c r="F952" s="38" t="n">
        <v>7162.5</v>
      </c>
      <c r="G952" s="39" t="n">
        <v>1</v>
      </c>
      <c r="H952" s="40" t="n">
        <v>800</v>
      </c>
    </row>
    <row r="953" s="33" customFormat="true" ht="14.25" hidden="false" customHeight="false" outlineLevel="0" collapsed="false">
      <c r="A953" s="34" t="n">
        <f aca="false">A952+1</f>
        <v>948</v>
      </c>
      <c r="B953" s="35" t="s">
        <v>345</v>
      </c>
      <c r="C953" s="35" t="str">
        <f aca="false">"0035581"</f>
        <v>0035581</v>
      </c>
      <c r="D953" s="37" t="s">
        <v>831</v>
      </c>
      <c r="E953" s="35" t="n">
        <v>2007</v>
      </c>
      <c r="F953" s="38" t="n">
        <v>13365.36</v>
      </c>
      <c r="G953" s="39" t="n">
        <v>2</v>
      </c>
      <c r="H953" s="40" t="n">
        <v>3000</v>
      </c>
    </row>
    <row r="954" s="33" customFormat="true" ht="14.25" hidden="false" customHeight="false" outlineLevel="0" collapsed="false">
      <c r="A954" s="34" t="n">
        <f aca="false">A953+1</f>
        <v>949</v>
      </c>
      <c r="B954" s="35" t="s">
        <v>345</v>
      </c>
      <c r="C954" s="35" t="str">
        <f aca="false">"0035655"</f>
        <v>0035655</v>
      </c>
      <c r="D954" s="37" t="s">
        <v>827</v>
      </c>
      <c r="E954" s="35" t="n">
        <v>2007</v>
      </c>
      <c r="F954" s="38" t="n">
        <v>2267.9</v>
      </c>
      <c r="G954" s="39" t="n">
        <v>1</v>
      </c>
      <c r="H954" s="40" t="n">
        <v>250</v>
      </c>
    </row>
    <row r="955" s="33" customFormat="true" ht="14.25" hidden="false" customHeight="false" outlineLevel="0" collapsed="false">
      <c r="A955" s="34" t="n">
        <f aca="false">A954+1</f>
        <v>950</v>
      </c>
      <c r="B955" s="35" t="s">
        <v>345</v>
      </c>
      <c r="C955" s="35" t="str">
        <f aca="false">"0035656"</f>
        <v>0035656</v>
      </c>
      <c r="D955" s="37" t="s">
        <v>832</v>
      </c>
      <c r="E955" s="35" t="n">
        <v>2007</v>
      </c>
      <c r="F955" s="38" t="n">
        <v>10623.9</v>
      </c>
      <c r="G955" s="39" t="n">
        <v>1</v>
      </c>
      <c r="H955" s="40" t="n">
        <v>1190</v>
      </c>
    </row>
    <row r="956" s="33" customFormat="true" ht="14.25" hidden="false" customHeight="false" outlineLevel="0" collapsed="false">
      <c r="A956" s="34" t="n">
        <f aca="false">A955+1</f>
        <v>951</v>
      </c>
      <c r="B956" s="35" t="s">
        <v>345</v>
      </c>
      <c r="C956" s="35" t="str">
        <f aca="false">"0035657"</f>
        <v>0035657</v>
      </c>
      <c r="D956" s="37" t="s">
        <v>827</v>
      </c>
      <c r="E956" s="35" t="n">
        <v>2007</v>
      </c>
      <c r="F956" s="38" t="n">
        <v>5909.9</v>
      </c>
      <c r="G956" s="39" t="n">
        <v>1</v>
      </c>
      <c r="H956" s="40" t="n">
        <v>660</v>
      </c>
    </row>
    <row r="957" s="33" customFormat="true" ht="14.25" hidden="false" customHeight="false" outlineLevel="0" collapsed="false">
      <c r="A957" s="34" t="n">
        <f aca="false">A956+1</f>
        <v>952</v>
      </c>
      <c r="B957" s="35" t="s">
        <v>345</v>
      </c>
      <c r="C957" s="35" t="str">
        <f aca="false">"0035658"</f>
        <v>0035658</v>
      </c>
      <c r="D957" s="37" t="s">
        <v>827</v>
      </c>
      <c r="E957" s="35" t="n">
        <v>2007</v>
      </c>
      <c r="F957" s="38" t="n">
        <v>2287.1</v>
      </c>
      <c r="G957" s="39" t="n">
        <v>1</v>
      </c>
      <c r="H957" s="40" t="n">
        <v>260</v>
      </c>
    </row>
    <row r="958" s="33" customFormat="true" ht="14.25" hidden="false" customHeight="false" outlineLevel="0" collapsed="false">
      <c r="A958" s="34" t="n">
        <f aca="false">A957+1</f>
        <v>953</v>
      </c>
      <c r="B958" s="35" t="s">
        <v>345</v>
      </c>
      <c r="C958" s="35" t="str">
        <f aca="false">"0035659"</f>
        <v>0035659</v>
      </c>
      <c r="D958" s="37" t="s">
        <v>833</v>
      </c>
      <c r="E958" s="35" t="n">
        <v>2007</v>
      </c>
      <c r="F958" s="38" t="n">
        <v>6349.7</v>
      </c>
      <c r="G958" s="39" t="n">
        <v>2</v>
      </c>
      <c r="H958" s="40" t="n">
        <v>1420</v>
      </c>
    </row>
    <row r="959" s="33" customFormat="true" ht="14.25" hidden="false" customHeight="false" outlineLevel="0" collapsed="false">
      <c r="A959" s="34" t="n">
        <f aca="false">A958+1</f>
        <v>954</v>
      </c>
      <c r="B959" s="35" t="s">
        <v>345</v>
      </c>
      <c r="C959" s="35" t="str">
        <f aca="false">"0035770"</f>
        <v>0035770</v>
      </c>
      <c r="D959" s="37" t="s">
        <v>834</v>
      </c>
      <c r="E959" s="35" t="n">
        <v>2007</v>
      </c>
      <c r="F959" s="38" t="n">
        <v>8692.5</v>
      </c>
      <c r="G959" s="39" t="n">
        <v>1</v>
      </c>
      <c r="H959" s="40" t="n">
        <v>975</v>
      </c>
    </row>
    <row r="960" s="33" customFormat="true" ht="14.25" hidden="false" customHeight="false" outlineLevel="0" collapsed="false">
      <c r="A960" s="34" t="n">
        <f aca="false">A959+1</f>
        <v>955</v>
      </c>
      <c r="B960" s="35" t="s">
        <v>345</v>
      </c>
      <c r="C960" s="35" t="str">
        <f aca="false">"0035775"</f>
        <v>0035775</v>
      </c>
      <c r="D960" s="37" t="s">
        <v>835</v>
      </c>
      <c r="E960" s="35" t="n">
        <v>2007</v>
      </c>
      <c r="F960" s="38" t="n">
        <v>12493.26</v>
      </c>
      <c r="G960" s="39" t="n">
        <v>1</v>
      </c>
      <c r="H960" s="40" t="n">
        <v>1400</v>
      </c>
    </row>
    <row r="961" s="33" customFormat="true" ht="14.25" hidden="false" customHeight="false" outlineLevel="0" collapsed="false">
      <c r="A961" s="34" t="n">
        <f aca="false">A960+1</f>
        <v>956</v>
      </c>
      <c r="B961" s="35" t="s">
        <v>345</v>
      </c>
      <c r="C961" s="35" t="str">
        <f aca="false">"0035823"</f>
        <v>0035823</v>
      </c>
      <c r="D961" s="37" t="s">
        <v>811</v>
      </c>
      <c r="E961" s="35" t="n">
        <v>2007</v>
      </c>
      <c r="F961" s="38" t="n">
        <v>9790.3</v>
      </c>
      <c r="G961" s="39" t="n">
        <v>1</v>
      </c>
      <c r="H961" s="40" t="n">
        <v>1100</v>
      </c>
    </row>
    <row r="962" s="33" customFormat="true" ht="14.25" hidden="false" customHeight="false" outlineLevel="0" collapsed="false">
      <c r="A962" s="34" t="n">
        <f aca="false">A961+1</f>
        <v>957</v>
      </c>
      <c r="B962" s="35" t="s">
        <v>345</v>
      </c>
      <c r="C962" s="35" t="str">
        <f aca="false">"0035824"</f>
        <v>0035824</v>
      </c>
      <c r="D962" s="37" t="s">
        <v>836</v>
      </c>
      <c r="E962" s="35" t="n">
        <v>2007</v>
      </c>
      <c r="F962" s="38" t="n">
        <v>54633.07</v>
      </c>
      <c r="G962" s="39" t="n">
        <v>1</v>
      </c>
      <c r="H962" s="40" t="n">
        <v>6120</v>
      </c>
    </row>
    <row r="963" s="33" customFormat="true" ht="14.25" hidden="false" customHeight="false" outlineLevel="0" collapsed="false">
      <c r="A963" s="34" t="n">
        <f aca="false">A962+1</f>
        <v>958</v>
      </c>
      <c r="B963" s="35" t="s">
        <v>345</v>
      </c>
      <c r="C963" s="35" t="str">
        <f aca="false">"0035825"</f>
        <v>0035825</v>
      </c>
      <c r="D963" s="37" t="s">
        <v>837</v>
      </c>
      <c r="E963" s="35" t="n">
        <v>2007</v>
      </c>
      <c r="F963" s="38" t="n">
        <v>7350</v>
      </c>
      <c r="G963" s="39" t="n">
        <v>1</v>
      </c>
      <c r="H963" s="40" t="n">
        <v>820</v>
      </c>
    </row>
    <row r="964" s="33" customFormat="true" ht="14.25" hidden="false" customHeight="false" outlineLevel="0" collapsed="false">
      <c r="A964" s="34" t="n">
        <f aca="false">A963+1</f>
        <v>959</v>
      </c>
      <c r="B964" s="35" t="s">
        <v>345</v>
      </c>
      <c r="C964" s="35" t="str">
        <f aca="false">"0035826"</f>
        <v>0035826</v>
      </c>
      <c r="D964" s="37" t="s">
        <v>837</v>
      </c>
      <c r="E964" s="35" t="n">
        <v>2007</v>
      </c>
      <c r="F964" s="38" t="n">
        <v>9012.6</v>
      </c>
      <c r="G964" s="39" t="n">
        <v>1</v>
      </c>
      <c r="H964" s="40" t="n">
        <v>1010</v>
      </c>
    </row>
    <row r="965" s="33" customFormat="true" ht="14.25" hidden="false" customHeight="false" outlineLevel="0" collapsed="false">
      <c r="A965" s="34" t="n">
        <f aca="false">A964+1</f>
        <v>960</v>
      </c>
      <c r="B965" s="35" t="s">
        <v>345</v>
      </c>
      <c r="C965" s="35" t="str">
        <f aca="false">"0035978"</f>
        <v>0035978</v>
      </c>
      <c r="D965" s="37" t="s">
        <v>838</v>
      </c>
      <c r="E965" s="35" t="n">
        <v>2007</v>
      </c>
      <c r="F965" s="38" t="n">
        <v>6926.4</v>
      </c>
      <c r="G965" s="39" t="n">
        <v>1</v>
      </c>
      <c r="H965" s="40" t="n">
        <v>780</v>
      </c>
    </row>
    <row r="966" s="33" customFormat="true" ht="14.25" hidden="false" customHeight="false" outlineLevel="0" collapsed="false">
      <c r="A966" s="34" t="n">
        <f aca="false">A965+1</f>
        <v>961</v>
      </c>
      <c r="B966" s="35" t="s">
        <v>345</v>
      </c>
      <c r="C966" s="35" t="str">
        <f aca="false">"0035981"</f>
        <v>0035981</v>
      </c>
      <c r="D966" s="37" t="s">
        <v>839</v>
      </c>
      <c r="E966" s="35" t="n">
        <v>2007</v>
      </c>
      <c r="F966" s="38" t="n">
        <v>39500.34</v>
      </c>
      <c r="G966" s="39" t="n">
        <v>1</v>
      </c>
      <c r="H966" s="40" t="n">
        <v>4425</v>
      </c>
    </row>
    <row r="967" s="33" customFormat="true" ht="14.25" hidden="false" customHeight="false" outlineLevel="0" collapsed="false">
      <c r="A967" s="34" t="n">
        <f aca="false">A966+1</f>
        <v>962</v>
      </c>
      <c r="B967" s="35" t="s">
        <v>345</v>
      </c>
      <c r="C967" s="35" t="str">
        <f aca="false">"0036588"</f>
        <v>0036588</v>
      </c>
      <c r="D967" s="37" t="s">
        <v>840</v>
      </c>
      <c r="E967" s="35" t="n">
        <v>2007</v>
      </c>
      <c r="F967" s="38" t="n">
        <v>9898.1</v>
      </c>
      <c r="G967" s="39" t="n">
        <v>1</v>
      </c>
      <c r="H967" s="40" t="n">
        <v>1110</v>
      </c>
    </row>
    <row r="968" s="33" customFormat="true" ht="14.25" hidden="false" customHeight="false" outlineLevel="0" collapsed="false">
      <c r="A968" s="34" t="n">
        <f aca="false">A967+1</f>
        <v>963</v>
      </c>
      <c r="B968" s="35" t="s">
        <v>345</v>
      </c>
      <c r="C968" s="35" t="str">
        <f aca="false">"0036589"</f>
        <v>0036589</v>
      </c>
      <c r="D968" s="37" t="s">
        <v>841</v>
      </c>
      <c r="E968" s="35" t="n">
        <v>2007</v>
      </c>
      <c r="F968" s="38" t="n">
        <v>6885.5</v>
      </c>
      <c r="G968" s="39" t="n">
        <v>1</v>
      </c>
      <c r="H968" s="40" t="n">
        <v>770</v>
      </c>
    </row>
    <row r="969" s="33" customFormat="true" ht="14.25" hidden="false" customHeight="false" outlineLevel="0" collapsed="false">
      <c r="A969" s="34" t="n">
        <f aca="false">A968+1</f>
        <v>964</v>
      </c>
      <c r="B969" s="35" t="s">
        <v>345</v>
      </c>
      <c r="C969" s="35" t="str">
        <f aca="false">"0036591"</f>
        <v>0036591</v>
      </c>
      <c r="D969" s="37" t="s">
        <v>841</v>
      </c>
      <c r="E969" s="35" t="n">
        <v>2007</v>
      </c>
      <c r="F969" s="38" t="n">
        <v>7207.5</v>
      </c>
      <c r="G969" s="39" t="n">
        <v>1</v>
      </c>
      <c r="H969" s="40" t="n">
        <v>810</v>
      </c>
    </row>
    <row r="970" s="33" customFormat="true" ht="14.25" hidden="false" customHeight="false" outlineLevel="0" collapsed="false">
      <c r="A970" s="34" t="n">
        <f aca="false">A969+1</f>
        <v>965</v>
      </c>
      <c r="B970" s="35" t="s">
        <v>345</v>
      </c>
      <c r="C970" s="35" t="str">
        <f aca="false">"0036699"</f>
        <v>0036699</v>
      </c>
      <c r="D970" s="37" t="s">
        <v>706</v>
      </c>
      <c r="E970" s="35" t="n">
        <v>2007</v>
      </c>
      <c r="F970" s="38" t="n">
        <v>3826</v>
      </c>
      <c r="G970" s="39" t="n">
        <v>1</v>
      </c>
      <c r="H970" s="40" t="n">
        <v>430</v>
      </c>
    </row>
    <row r="971" s="33" customFormat="true" ht="14.25" hidden="false" customHeight="false" outlineLevel="0" collapsed="false">
      <c r="A971" s="34" t="n">
        <f aca="false">A970+1</f>
        <v>966</v>
      </c>
      <c r="B971" s="35" t="s">
        <v>345</v>
      </c>
      <c r="C971" s="35" t="str">
        <f aca="false">"0036786"</f>
        <v>0036786</v>
      </c>
      <c r="D971" s="37" t="s">
        <v>842</v>
      </c>
      <c r="E971" s="35" t="n">
        <v>2007</v>
      </c>
      <c r="F971" s="38" t="n">
        <v>13530</v>
      </c>
      <c r="G971" s="39" t="n">
        <v>1</v>
      </c>
      <c r="H971" s="40" t="n">
        <v>1515</v>
      </c>
    </row>
    <row r="972" s="33" customFormat="true" ht="14.25" hidden="false" customHeight="false" outlineLevel="0" collapsed="false">
      <c r="A972" s="34" t="n">
        <f aca="false">A971+1</f>
        <v>967</v>
      </c>
      <c r="B972" s="35" t="s">
        <v>345</v>
      </c>
      <c r="C972" s="35" t="str">
        <f aca="false">"0036790"</f>
        <v>0036790</v>
      </c>
      <c r="D972" s="37" t="s">
        <v>842</v>
      </c>
      <c r="E972" s="35" t="n">
        <v>2007</v>
      </c>
      <c r="F972" s="38" t="n">
        <v>20422</v>
      </c>
      <c r="G972" s="39" t="n">
        <v>1</v>
      </c>
      <c r="H972" s="40" t="n">
        <v>2290</v>
      </c>
    </row>
    <row r="973" s="33" customFormat="true" ht="14.25" hidden="false" customHeight="false" outlineLevel="0" collapsed="false">
      <c r="A973" s="34" t="n">
        <f aca="false">A972+1</f>
        <v>968</v>
      </c>
      <c r="B973" s="35" t="s">
        <v>345</v>
      </c>
      <c r="C973" s="35" t="str">
        <f aca="false">"0037047"</f>
        <v>0037047</v>
      </c>
      <c r="D973" s="37" t="s">
        <v>827</v>
      </c>
      <c r="E973" s="35" t="n">
        <v>2008</v>
      </c>
      <c r="F973" s="38" t="n">
        <v>2517.7</v>
      </c>
      <c r="G973" s="39" t="n">
        <v>1</v>
      </c>
      <c r="H973" s="40" t="n">
        <v>305</v>
      </c>
    </row>
    <row r="974" s="33" customFormat="true" ht="14.25" hidden="false" customHeight="false" outlineLevel="0" collapsed="false">
      <c r="A974" s="34" t="n">
        <f aca="false">A973+1</f>
        <v>969</v>
      </c>
      <c r="B974" s="35" t="s">
        <v>345</v>
      </c>
      <c r="C974" s="35" t="str">
        <f aca="false">"0037050"</f>
        <v>0037050</v>
      </c>
      <c r="D974" s="37" t="s">
        <v>843</v>
      </c>
      <c r="E974" s="35" t="n">
        <v>2008</v>
      </c>
      <c r="F974" s="38" t="n">
        <v>5548.4</v>
      </c>
      <c r="G974" s="39" t="n">
        <v>2</v>
      </c>
      <c r="H974" s="40" t="n">
        <v>1350</v>
      </c>
    </row>
    <row r="975" s="33" customFormat="true" ht="14.25" hidden="false" customHeight="false" outlineLevel="0" collapsed="false">
      <c r="A975" s="34" t="n">
        <f aca="false">A974+1</f>
        <v>970</v>
      </c>
      <c r="B975" s="35" t="s">
        <v>345</v>
      </c>
      <c r="C975" s="35" t="str">
        <f aca="false">"0037055"</f>
        <v>0037055</v>
      </c>
      <c r="D975" s="37" t="s">
        <v>844</v>
      </c>
      <c r="E975" s="35" t="n">
        <v>2008</v>
      </c>
      <c r="F975" s="38" t="n">
        <v>3788.6</v>
      </c>
      <c r="G975" s="39" t="n">
        <v>1</v>
      </c>
      <c r="H975" s="40" t="n">
        <v>460</v>
      </c>
    </row>
    <row r="976" s="33" customFormat="true" ht="14.25" hidden="false" customHeight="false" outlineLevel="0" collapsed="false">
      <c r="A976" s="34" t="n">
        <f aca="false">A975+1</f>
        <v>971</v>
      </c>
      <c r="B976" s="35" t="s">
        <v>345</v>
      </c>
      <c r="C976" s="35" t="str">
        <f aca="false">"0037056"</f>
        <v>0037056</v>
      </c>
      <c r="D976" s="37" t="s">
        <v>845</v>
      </c>
      <c r="E976" s="35" t="n">
        <v>2008</v>
      </c>
      <c r="F976" s="38" t="n">
        <v>2902</v>
      </c>
      <c r="G976" s="39" t="n">
        <v>1</v>
      </c>
      <c r="H976" s="40" t="n">
        <v>350</v>
      </c>
    </row>
    <row r="977" s="33" customFormat="true" ht="14.25" hidden="false" customHeight="false" outlineLevel="0" collapsed="false">
      <c r="A977" s="34" t="n">
        <f aca="false">A976+1</f>
        <v>972</v>
      </c>
      <c r="B977" s="35" t="s">
        <v>345</v>
      </c>
      <c r="C977" s="35" t="str">
        <f aca="false">"0037057"</f>
        <v>0037057</v>
      </c>
      <c r="D977" s="37" t="s">
        <v>811</v>
      </c>
      <c r="E977" s="35" t="n">
        <v>2008</v>
      </c>
      <c r="F977" s="38" t="n">
        <v>10303.8</v>
      </c>
      <c r="G977" s="39" t="n">
        <v>1</v>
      </c>
      <c r="H977" s="40" t="n">
        <v>1255</v>
      </c>
    </row>
    <row r="978" s="33" customFormat="true" ht="14.25" hidden="false" customHeight="false" outlineLevel="0" collapsed="false">
      <c r="A978" s="34" t="n">
        <f aca="false">A977+1</f>
        <v>973</v>
      </c>
      <c r="B978" s="35" t="s">
        <v>345</v>
      </c>
      <c r="C978" s="35" t="str">
        <f aca="false">"0037058"</f>
        <v>0037058</v>
      </c>
      <c r="D978" s="37" t="s">
        <v>845</v>
      </c>
      <c r="E978" s="35" t="n">
        <v>2008</v>
      </c>
      <c r="F978" s="38" t="n">
        <v>1293.8</v>
      </c>
      <c r="G978" s="39" t="n">
        <v>1</v>
      </c>
      <c r="H978" s="40" t="n">
        <v>160</v>
      </c>
    </row>
    <row r="979" s="33" customFormat="true" ht="14.25" hidden="false" customHeight="false" outlineLevel="0" collapsed="false">
      <c r="A979" s="34" t="n">
        <f aca="false">A978+1</f>
        <v>974</v>
      </c>
      <c r="B979" s="35" t="s">
        <v>345</v>
      </c>
      <c r="C979" s="35" t="str">
        <f aca="false">"0037059"</f>
        <v>0037059</v>
      </c>
      <c r="D979" s="37" t="s">
        <v>846</v>
      </c>
      <c r="E979" s="35" t="n">
        <v>2008</v>
      </c>
      <c r="F979" s="38" t="n">
        <v>3609.5</v>
      </c>
      <c r="G979" s="39" t="n">
        <v>1</v>
      </c>
      <c r="H979" s="40" t="n">
        <v>440</v>
      </c>
    </row>
    <row r="980" s="33" customFormat="true" ht="14.25" hidden="false" customHeight="false" outlineLevel="0" collapsed="false">
      <c r="A980" s="34" t="n">
        <f aca="false">A979+1</f>
        <v>975</v>
      </c>
      <c r="B980" s="35" t="s">
        <v>345</v>
      </c>
      <c r="C980" s="35" t="str">
        <f aca="false">"0037060"</f>
        <v>0037060</v>
      </c>
      <c r="D980" s="37" t="s">
        <v>814</v>
      </c>
      <c r="E980" s="35" t="n">
        <v>2008</v>
      </c>
      <c r="F980" s="38" t="n">
        <v>19980</v>
      </c>
      <c r="G980" s="39" t="n">
        <v>1</v>
      </c>
      <c r="H980" s="40" t="n">
        <v>2430</v>
      </c>
    </row>
    <row r="981" s="33" customFormat="true" ht="14.25" hidden="false" customHeight="false" outlineLevel="0" collapsed="false">
      <c r="A981" s="34" t="n">
        <f aca="false">A980+1</f>
        <v>976</v>
      </c>
      <c r="B981" s="35" t="s">
        <v>345</v>
      </c>
      <c r="C981" s="35" t="str">
        <f aca="false">"0037064"</f>
        <v>0037064</v>
      </c>
      <c r="D981" s="37" t="s">
        <v>847</v>
      </c>
      <c r="E981" s="35" t="n">
        <v>2008</v>
      </c>
      <c r="F981" s="38" t="n">
        <v>3083.8</v>
      </c>
      <c r="G981" s="39" t="n">
        <v>1</v>
      </c>
      <c r="H981" s="40" t="n">
        <v>320</v>
      </c>
    </row>
    <row r="982" s="33" customFormat="true" ht="14.25" hidden="false" customHeight="false" outlineLevel="0" collapsed="false">
      <c r="A982" s="34" t="n">
        <f aca="false">A981+1</f>
        <v>977</v>
      </c>
      <c r="B982" s="35" t="s">
        <v>345</v>
      </c>
      <c r="C982" s="35" t="str">
        <f aca="false">"0037065"</f>
        <v>0037065</v>
      </c>
      <c r="D982" s="37" t="s">
        <v>847</v>
      </c>
      <c r="E982" s="35" t="n">
        <v>2008</v>
      </c>
      <c r="F982" s="38" t="n">
        <v>3620.65</v>
      </c>
      <c r="G982" s="39" t="n">
        <v>1</v>
      </c>
      <c r="H982" s="40" t="n">
        <v>370</v>
      </c>
    </row>
    <row r="983" s="33" customFormat="true" ht="14.25" hidden="false" customHeight="false" outlineLevel="0" collapsed="false">
      <c r="A983" s="34" t="n">
        <f aca="false">A982+1</f>
        <v>978</v>
      </c>
      <c r="B983" s="35" t="s">
        <v>345</v>
      </c>
      <c r="C983" s="35" t="str">
        <f aca="false">"0037157"</f>
        <v>0037157</v>
      </c>
      <c r="D983" s="37" t="s">
        <v>848</v>
      </c>
      <c r="E983" s="35" t="n">
        <v>2008</v>
      </c>
      <c r="F983" s="38" t="n">
        <v>4022.9</v>
      </c>
      <c r="G983" s="39" t="n">
        <v>1</v>
      </c>
      <c r="H983" s="40" t="n">
        <v>490</v>
      </c>
    </row>
    <row r="984" s="33" customFormat="true" ht="14.25" hidden="false" customHeight="false" outlineLevel="0" collapsed="false">
      <c r="A984" s="34" t="n">
        <f aca="false">A983+1</f>
        <v>979</v>
      </c>
      <c r="B984" s="35" t="s">
        <v>345</v>
      </c>
      <c r="C984" s="35" t="str">
        <f aca="false">"0037159"</f>
        <v>0037159</v>
      </c>
      <c r="D984" s="37" t="s">
        <v>849</v>
      </c>
      <c r="E984" s="35" t="n">
        <v>2008</v>
      </c>
      <c r="F984" s="38" t="n">
        <v>5143</v>
      </c>
      <c r="G984" s="39" t="n">
        <v>1</v>
      </c>
      <c r="H984" s="40" t="n">
        <v>625</v>
      </c>
    </row>
    <row r="985" s="33" customFormat="true" ht="14.25" hidden="false" customHeight="false" outlineLevel="0" collapsed="false">
      <c r="A985" s="34" t="n">
        <f aca="false">A984+1</f>
        <v>980</v>
      </c>
      <c r="B985" s="35" t="s">
        <v>345</v>
      </c>
      <c r="C985" s="35" t="str">
        <f aca="false">"0037160"</f>
        <v>0037160</v>
      </c>
      <c r="D985" s="37" t="s">
        <v>850</v>
      </c>
      <c r="E985" s="35" t="n">
        <v>2008</v>
      </c>
      <c r="F985" s="38" t="n">
        <v>12857.5</v>
      </c>
      <c r="G985" s="39" t="n">
        <v>1</v>
      </c>
      <c r="H985" s="40" t="n">
        <v>1565</v>
      </c>
    </row>
    <row r="986" s="33" customFormat="true" ht="14.25" hidden="false" customHeight="false" outlineLevel="0" collapsed="false">
      <c r="A986" s="34" t="n">
        <f aca="false">A985+1</f>
        <v>981</v>
      </c>
      <c r="B986" s="35" t="s">
        <v>345</v>
      </c>
      <c r="C986" s="35" t="str">
        <f aca="false">"0037161"</f>
        <v>0037161</v>
      </c>
      <c r="D986" s="37" t="s">
        <v>850</v>
      </c>
      <c r="E986" s="35" t="n">
        <v>2008</v>
      </c>
      <c r="F986" s="38" t="n">
        <v>12078.4</v>
      </c>
      <c r="G986" s="39" t="n">
        <v>1</v>
      </c>
      <c r="H986" s="40" t="n">
        <v>1470</v>
      </c>
    </row>
    <row r="987" s="33" customFormat="true" ht="14.25" hidden="false" customHeight="false" outlineLevel="0" collapsed="false">
      <c r="A987" s="34" t="n">
        <f aca="false">A986+1</f>
        <v>982</v>
      </c>
      <c r="B987" s="35" t="s">
        <v>345</v>
      </c>
      <c r="C987" s="35" t="str">
        <f aca="false">"0037164"</f>
        <v>0037164</v>
      </c>
      <c r="D987" s="37" t="s">
        <v>851</v>
      </c>
      <c r="E987" s="35" t="n">
        <v>2008</v>
      </c>
      <c r="F987" s="38" t="n">
        <v>2813</v>
      </c>
      <c r="G987" s="39" t="n">
        <v>2</v>
      </c>
      <c r="H987" s="40" t="n">
        <v>680</v>
      </c>
    </row>
    <row r="988" s="33" customFormat="true" ht="14.25" hidden="false" customHeight="false" outlineLevel="0" collapsed="false">
      <c r="A988" s="34" t="n">
        <f aca="false">A987+1</f>
        <v>983</v>
      </c>
      <c r="B988" s="35" t="s">
        <v>345</v>
      </c>
      <c r="C988" s="35" t="str">
        <f aca="false">"0037166"</f>
        <v>0037166</v>
      </c>
      <c r="D988" s="37" t="s">
        <v>852</v>
      </c>
      <c r="E988" s="35" t="n">
        <v>2008</v>
      </c>
      <c r="F988" s="38" t="n">
        <v>9987</v>
      </c>
      <c r="G988" s="39" t="n">
        <v>1</v>
      </c>
      <c r="H988" s="40" t="n">
        <v>1215</v>
      </c>
    </row>
    <row r="989" s="33" customFormat="true" ht="14.25" hidden="false" customHeight="false" outlineLevel="0" collapsed="false">
      <c r="A989" s="34" t="n">
        <f aca="false">A988+1</f>
        <v>984</v>
      </c>
      <c r="B989" s="35" t="s">
        <v>345</v>
      </c>
      <c r="C989" s="35" t="str">
        <f aca="false">"0037481"</f>
        <v>0037481</v>
      </c>
      <c r="D989" s="37" t="s">
        <v>853</v>
      </c>
      <c r="E989" s="35" t="n">
        <v>2008</v>
      </c>
      <c r="F989" s="38" t="n">
        <v>4430.4</v>
      </c>
      <c r="G989" s="39" t="n">
        <v>1</v>
      </c>
      <c r="H989" s="40" t="n">
        <v>540</v>
      </c>
    </row>
    <row r="990" s="33" customFormat="true" ht="14.25" hidden="false" customHeight="false" outlineLevel="0" collapsed="false">
      <c r="A990" s="34" t="n">
        <f aca="false">A989+1</f>
        <v>985</v>
      </c>
      <c r="B990" s="35" t="s">
        <v>345</v>
      </c>
      <c r="C990" s="35" t="str">
        <f aca="false">"0037482"</f>
        <v>0037482</v>
      </c>
      <c r="D990" s="37" t="s">
        <v>854</v>
      </c>
      <c r="E990" s="35" t="n">
        <v>2008</v>
      </c>
      <c r="F990" s="38" t="n">
        <v>5092.5</v>
      </c>
      <c r="G990" s="39" t="n">
        <v>3</v>
      </c>
      <c r="H990" s="40" t="n">
        <v>1860</v>
      </c>
    </row>
    <row r="991" s="33" customFormat="true" ht="14.25" hidden="false" customHeight="false" outlineLevel="0" collapsed="false">
      <c r="A991" s="34" t="n">
        <f aca="false">A990+1</f>
        <v>986</v>
      </c>
      <c r="B991" s="35" t="s">
        <v>345</v>
      </c>
      <c r="C991" s="35" t="str">
        <f aca="false">"0037488"</f>
        <v>0037488</v>
      </c>
      <c r="D991" s="37" t="s">
        <v>855</v>
      </c>
      <c r="E991" s="35" t="n">
        <v>2008</v>
      </c>
      <c r="F991" s="38" t="n">
        <v>2030.4</v>
      </c>
      <c r="G991" s="39" t="n">
        <v>1</v>
      </c>
      <c r="H991" s="40" t="n">
        <v>250</v>
      </c>
    </row>
    <row r="992" s="33" customFormat="true" ht="14.25" hidden="false" customHeight="false" outlineLevel="0" collapsed="false">
      <c r="A992" s="34" t="n">
        <f aca="false">A991+1</f>
        <v>987</v>
      </c>
      <c r="B992" s="35" t="s">
        <v>345</v>
      </c>
      <c r="C992" s="35" t="str">
        <f aca="false">"0037489"</f>
        <v>0037489</v>
      </c>
      <c r="D992" s="37" t="s">
        <v>856</v>
      </c>
      <c r="E992" s="35" t="n">
        <v>2008</v>
      </c>
      <c r="F992" s="38" t="n">
        <v>3502</v>
      </c>
      <c r="G992" s="39" t="n">
        <v>2</v>
      </c>
      <c r="H992" s="40" t="n">
        <v>860</v>
      </c>
    </row>
    <row r="993" s="33" customFormat="true" ht="14.25" hidden="false" customHeight="false" outlineLevel="0" collapsed="false">
      <c r="A993" s="34" t="n">
        <f aca="false">A992+1</f>
        <v>988</v>
      </c>
      <c r="B993" s="35" t="s">
        <v>345</v>
      </c>
      <c r="C993" s="35" t="str">
        <f aca="false">"0037491"</f>
        <v>0037491</v>
      </c>
      <c r="D993" s="37" t="s">
        <v>857</v>
      </c>
      <c r="E993" s="35" t="n">
        <v>2008</v>
      </c>
      <c r="F993" s="38" t="n">
        <v>60191</v>
      </c>
      <c r="G993" s="39" t="n">
        <v>2</v>
      </c>
      <c r="H993" s="40" t="n">
        <v>14640</v>
      </c>
    </row>
    <row r="994" s="33" customFormat="true" ht="14.25" hidden="false" customHeight="false" outlineLevel="0" collapsed="false">
      <c r="A994" s="34" t="n">
        <f aca="false">A993+1</f>
        <v>989</v>
      </c>
      <c r="B994" s="35" t="s">
        <v>345</v>
      </c>
      <c r="C994" s="35" t="str">
        <f aca="false">"0037497"</f>
        <v>0037497</v>
      </c>
      <c r="D994" s="37" t="s">
        <v>841</v>
      </c>
      <c r="E994" s="35" t="n">
        <v>2008</v>
      </c>
      <c r="F994" s="38" t="n">
        <v>8140.6</v>
      </c>
      <c r="G994" s="39" t="n">
        <v>1</v>
      </c>
      <c r="H994" s="40" t="n">
        <v>990</v>
      </c>
    </row>
    <row r="995" s="33" customFormat="true" ht="14.25" hidden="false" customHeight="false" outlineLevel="0" collapsed="false">
      <c r="A995" s="34" t="n">
        <f aca="false">A994+1</f>
        <v>990</v>
      </c>
      <c r="B995" s="35" t="s">
        <v>345</v>
      </c>
      <c r="C995" s="35" t="str">
        <f aca="false">"0037498"</f>
        <v>0037498</v>
      </c>
      <c r="D995" s="37" t="s">
        <v>841</v>
      </c>
      <c r="E995" s="35" t="n">
        <v>2008</v>
      </c>
      <c r="F995" s="38" t="n">
        <v>8008</v>
      </c>
      <c r="G995" s="39" t="n">
        <v>1</v>
      </c>
      <c r="H995" s="40" t="n">
        <v>975</v>
      </c>
    </row>
    <row r="996" s="33" customFormat="true" ht="14.25" hidden="false" customHeight="false" outlineLevel="0" collapsed="false">
      <c r="A996" s="34" t="n">
        <f aca="false">A995+1</f>
        <v>991</v>
      </c>
      <c r="B996" s="35" t="s">
        <v>345</v>
      </c>
      <c r="C996" s="35" t="str">
        <f aca="false">"0037638"</f>
        <v>0037638</v>
      </c>
      <c r="D996" s="37" t="s">
        <v>858</v>
      </c>
      <c r="E996" s="35" t="n">
        <v>2008</v>
      </c>
      <c r="F996" s="38" t="n">
        <v>21708.7</v>
      </c>
      <c r="G996" s="39" t="n">
        <v>1</v>
      </c>
      <c r="H996" s="40" t="n">
        <v>2640</v>
      </c>
    </row>
    <row r="997" s="33" customFormat="true" ht="14.25" hidden="false" customHeight="false" outlineLevel="0" collapsed="false">
      <c r="A997" s="34" t="n">
        <f aca="false">A996+1</f>
        <v>992</v>
      </c>
      <c r="B997" s="35" t="s">
        <v>345</v>
      </c>
      <c r="C997" s="35" t="str">
        <f aca="false">"0037776"</f>
        <v>0037776</v>
      </c>
      <c r="D997" s="37" t="s">
        <v>859</v>
      </c>
      <c r="E997" s="35" t="n">
        <v>2008</v>
      </c>
      <c r="F997" s="38" t="n">
        <v>2100</v>
      </c>
      <c r="G997" s="39" t="n">
        <v>1</v>
      </c>
      <c r="H997" s="40" t="n">
        <v>255</v>
      </c>
    </row>
    <row r="998" s="33" customFormat="true" ht="14.25" hidden="false" customHeight="false" outlineLevel="0" collapsed="false">
      <c r="A998" s="34" t="n">
        <f aca="false">A997+1</f>
        <v>993</v>
      </c>
      <c r="B998" s="35" t="s">
        <v>345</v>
      </c>
      <c r="C998" s="35" t="str">
        <f aca="false">"0037777"</f>
        <v>0037777</v>
      </c>
      <c r="D998" s="37" t="s">
        <v>860</v>
      </c>
      <c r="E998" s="35" t="n">
        <v>2008</v>
      </c>
      <c r="F998" s="38" t="n">
        <v>2600</v>
      </c>
      <c r="G998" s="39" t="n">
        <v>3</v>
      </c>
      <c r="H998" s="40" t="n">
        <v>945</v>
      </c>
    </row>
    <row r="999" s="33" customFormat="true" ht="14.25" hidden="false" customHeight="false" outlineLevel="0" collapsed="false">
      <c r="A999" s="34" t="n">
        <f aca="false">A998+1</f>
        <v>994</v>
      </c>
      <c r="B999" s="35" t="s">
        <v>345</v>
      </c>
      <c r="C999" s="35" t="str">
        <f aca="false">"0037780"</f>
        <v>0037780</v>
      </c>
      <c r="D999" s="37" t="s">
        <v>861</v>
      </c>
      <c r="E999" s="35" t="n">
        <v>2008</v>
      </c>
      <c r="F999" s="38" t="n">
        <v>6578.36</v>
      </c>
      <c r="G999" s="39" t="n">
        <v>1</v>
      </c>
      <c r="H999" s="40" t="n">
        <v>800</v>
      </c>
    </row>
    <row r="1000" s="33" customFormat="true" ht="14.25" hidden="false" customHeight="false" outlineLevel="0" collapsed="false">
      <c r="A1000" s="34" t="n">
        <f aca="false">A999+1</f>
        <v>995</v>
      </c>
      <c r="B1000" s="35" t="s">
        <v>345</v>
      </c>
      <c r="C1000" s="35" t="str">
        <f aca="false">"0037943"</f>
        <v>0037943</v>
      </c>
      <c r="D1000" s="37" t="s">
        <v>862</v>
      </c>
      <c r="E1000" s="35" t="n">
        <v>2008</v>
      </c>
      <c r="F1000" s="38" t="n">
        <v>3377.9</v>
      </c>
      <c r="G1000" s="39" t="n">
        <v>2</v>
      </c>
      <c r="H1000" s="40" t="n">
        <v>840</v>
      </c>
    </row>
    <row r="1001" s="33" customFormat="true" ht="14.25" hidden="false" customHeight="false" outlineLevel="0" collapsed="false">
      <c r="A1001" s="34" t="n">
        <f aca="false">A1000+1</f>
        <v>996</v>
      </c>
      <c r="B1001" s="35" t="s">
        <v>345</v>
      </c>
      <c r="C1001" s="35" t="str">
        <f aca="false">"0037945"</f>
        <v>0037945</v>
      </c>
      <c r="D1001" s="37" t="s">
        <v>863</v>
      </c>
      <c r="E1001" s="35" t="n">
        <v>2008</v>
      </c>
      <c r="F1001" s="38" t="n">
        <v>18830</v>
      </c>
      <c r="G1001" s="39" t="n">
        <v>1</v>
      </c>
      <c r="H1001" s="40" t="n">
        <v>2290</v>
      </c>
    </row>
    <row r="1002" s="33" customFormat="true" ht="14.25" hidden="false" customHeight="false" outlineLevel="0" collapsed="false">
      <c r="A1002" s="34" t="n">
        <f aca="false">A1001+1</f>
        <v>997</v>
      </c>
      <c r="B1002" s="35" t="s">
        <v>345</v>
      </c>
      <c r="C1002" s="35" t="str">
        <f aca="false">"0037946"</f>
        <v>0037946</v>
      </c>
      <c r="D1002" s="37" t="s">
        <v>863</v>
      </c>
      <c r="E1002" s="35" t="n">
        <v>2008</v>
      </c>
      <c r="F1002" s="38" t="n">
        <v>6493.5</v>
      </c>
      <c r="G1002" s="39" t="n">
        <v>1</v>
      </c>
      <c r="H1002" s="40" t="n">
        <v>790</v>
      </c>
    </row>
    <row r="1003" s="33" customFormat="true" ht="14.25" hidden="false" customHeight="false" outlineLevel="0" collapsed="false">
      <c r="A1003" s="34" t="n">
        <f aca="false">A1002+1</f>
        <v>998</v>
      </c>
      <c r="B1003" s="35" t="s">
        <v>345</v>
      </c>
      <c r="C1003" s="35" t="str">
        <f aca="false">"0037951"</f>
        <v>0037951</v>
      </c>
      <c r="D1003" s="37" t="s">
        <v>864</v>
      </c>
      <c r="E1003" s="35" t="n">
        <v>2008</v>
      </c>
      <c r="F1003" s="38" t="n">
        <v>2712.06</v>
      </c>
      <c r="G1003" s="39" t="n">
        <v>4</v>
      </c>
      <c r="H1003" s="40" t="n">
        <v>1320</v>
      </c>
    </row>
    <row r="1004" s="33" customFormat="true" ht="14.25" hidden="false" customHeight="false" outlineLevel="0" collapsed="false">
      <c r="A1004" s="34" t="n">
        <f aca="false">A1003+1</f>
        <v>999</v>
      </c>
      <c r="B1004" s="35" t="s">
        <v>345</v>
      </c>
      <c r="C1004" s="35" t="str">
        <f aca="false">"0038126"</f>
        <v>0038126</v>
      </c>
      <c r="D1004" s="37" t="s">
        <v>865</v>
      </c>
      <c r="E1004" s="35" t="n">
        <v>2008</v>
      </c>
      <c r="F1004" s="38" t="n">
        <v>19404</v>
      </c>
      <c r="G1004" s="39" t="n">
        <v>1</v>
      </c>
      <c r="H1004" s="40" t="n">
        <v>2360</v>
      </c>
    </row>
    <row r="1005" s="33" customFormat="true" ht="14.25" hidden="false" customHeight="false" outlineLevel="0" collapsed="false">
      <c r="A1005" s="34" t="n">
        <f aca="false">A1004+1</f>
        <v>1000</v>
      </c>
      <c r="B1005" s="35" t="s">
        <v>345</v>
      </c>
      <c r="C1005" s="35" t="str">
        <f aca="false">"0038129"</f>
        <v>0038129</v>
      </c>
      <c r="D1005" s="37" t="s">
        <v>866</v>
      </c>
      <c r="E1005" s="35" t="n">
        <v>2008</v>
      </c>
      <c r="F1005" s="38" t="n">
        <v>13626.56</v>
      </c>
      <c r="G1005" s="39" t="n">
        <v>1</v>
      </c>
      <c r="H1005" s="40" t="n">
        <v>1660</v>
      </c>
    </row>
    <row r="1006" s="33" customFormat="true" ht="14.25" hidden="false" customHeight="false" outlineLevel="0" collapsed="false">
      <c r="A1006" s="34" t="n">
        <f aca="false">A1005+1</f>
        <v>1001</v>
      </c>
      <c r="B1006" s="35" t="s">
        <v>345</v>
      </c>
      <c r="C1006" s="35" t="str">
        <f aca="false">"0038130"</f>
        <v>0038130</v>
      </c>
      <c r="D1006" s="37" t="s">
        <v>867</v>
      </c>
      <c r="E1006" s="35" t="n">
        <v>2008</v>
      </c>
      <c r="F1006" s="38" t="n">
        <v>2627.8</v>
      </c>
      <c r="G1006" s="39" t="n">
        <v>1</v>
      </c>
      <c r="H1006" s="40" t="n">
        <v>320</v>
      </c>
    </row>
    <row r="1007" s="33" customFormat="true" ht="14.25" hidden="false" customHeight="false" outlineLevel="0" collapsed="false">
      <c r="A1007" s="34" t="n">
        <f aca="false">A1006+1</f>
        <v>1002</v>
      </c>
      <c r="B1007" s="35" t="s">
        <v>345</v>
      </c>
      <c r="C1007" s="35" t="str">
        <f aca="false">"0038131"</f>
        <v>0038131</v>
      </c>
      <c r="D1007" s="37" t="s">
        <v>863</v>
      </c>
      <c r="E1007" s="35" t="n">
        <v>2008</v>
      </c>
      <c r="F1007" s="38" t="n">
        <v>29253.8</v>
      </c>
      <c r="G1007" s="39" t="n">
        <v>1</v>
      </c>
      <c r="H1007" s="40" t="n">
        <v>3560</v>
      </c>
    </row>
    <row r="1008" s="33" customFormat="true" ht="14.25" hidden="false" customHeight="false" outlineLevel="0" collapsed="false">
      <c r="A1008" s="34" t="n">
        <f aca="false">A1007+1</f>
        <v>1003</v>
      </c>
      <c r="B1008" s="35" t="s">
        <v>345</v>
      </c>
      <c r="C1008" s="35" t="str">
        <f aca="false">"0038132"</f>
        <v>0038132</v>
      </c>
      <c r="D1008" s="37" t="s">
        <v>863</v>
      </c>
      <c r="E1008" s="35" t="n">
        <v>2008</v>
      </c>
      <c r="F1008" s="38" t="n">
        <v>2835</v>
      </c>
      <c r="G1008" s="39" t="n">
        <v>1</v>
      </c>
      <c r="H1008" s="40" t="n">
        <v>345</v>
      </c>
    </row>
    <row r="1009" s="33" customFormat="true" ht="14.25" hidden="false" customHeight="false" outlineLevel="0" collapsed="false">
      <c r="A1009" s="34" t="n">
        <f aca="false">A1008+1</f>
        <v>1004</v>
      </c>
      <c r="B1009" s="35" t="s">
        <v>345</v>
      </c>
      <c r="C1009" s="35" t="str">
        <f aca="false">"0038133"</f>
        <v>0038133</v>
      </c>
      <c r="D1009" s="37" t="s">
        <v>827</v>
      </c>
      <c r="E1009" s="35" t="n">
        <v>2008</v>
      </c>
      <c r="F1009" s="38" t="n">
        <v>2287.1</v>
      </c>
      <c r="G1009" s="39" t="n">
        <v>1</v>
      </c>
      <c r="H1009" s="40" t="n">
        <v>280</v>
      </c>
    </row>
    <row r="1010" s="33" customFormat="true" ht="14.25" hidden="false" customHeight="false" outlineLevel="0" collapsed="false">
      <c r="A1010" s="34" t="n">
        <f aca="false">A1009+1</f>
        <v>1005</v>
      </c>
      <c r="B1010" s="35" t="s">
        <v>345</v>
      </c>
      <c r="C1010" s="35" t="str">
        <f aca="false">"0038137"</f>
        <v>0038137</v>
      </c>
      <c r="D1010" s="37" t="s">
        <v>868</v>
      </c>
      <c r="E1010" s="35" t="n">
        <v>2008</v>
      </c>
      <c r="F1010" s="38" t="n">
        <v>3372</v>
      </c>
      <c r="G1010" s="39" t="n">
        <v>1</v>
      </c>
      <c r="H1010" s="40" t="n">
        <v>410</v>
      </c>
    </row>
    <row r="1011" s="33" customFormat="true" ht="14.25" hidden="false" customHeight="false" outlineLevel="0" collapsed="false">
      <c r="A1011" s="34" t="n">
        <f aca="false">A1010+1</f>
        <v>1006</v>
      </c>
      <c r="B1011" s="35" t="s">
        <v>345</v>
      </c>
      <c r="C1011" s="35" t="str">
        <f aca="false">"0038327"</f>
        <v>0038327</v>
      </c>
      <c r="D1011" s="37" t="s">
        <v>869</v>
      </c>
      <c r="E1011" s="35" t="n">
        <v>2008</v>
      </c>
      <c r="F1011" s="38" t="n">
        <v>9226</v>
      </c>
      <c r="G1011" s="39" t="n">
        <v>1</v>
      </c>
      <c r="H1011" s="40" t="n">
        <v>1200</v>
      </c>
    </row>
    <row r="1012" s="33" customFormat="true" ht="14.25" hidden="false" customHeight="false" outlineLevel="0" collapsed="false">
      <c r="A1012" s="34" t="n">
        <f aca="false">A1011+1</f>
        <v>1007</v>
      </c>
      <c r="B1012" s="35" t="s">
        <v>345</v>
      </c>
      <c r="C1012" s="35" t="str">
        <f aca="false">"0038328"</f>
        <v>0038328</v>
      </c>
      <c r="D1012" s="37" t="s">
        <v>870</v>
      </c>
      <c r="E1012" s="35" t="n">
        <v>2008</v>
      </c>
      <c r="F1012" s="38" t="n">
        <v>3890</v>
      </c>
      <c r="G1012" s="39" t="n">
        <v>1</v>
      </c>
      <c r="H1012" s="40" t="n">
        <v>480</v>
      </c>
    </row>
    <row r="1013" s="33" customFormat="true" ht="14.25" hidden="false" customHeight="false" outlineLevel="0" collapsed="false">
      <c r="A1013" s="34" t="n">
        <f aca="false">A1012+1</f>
        <v>1008</v>
      </c>
      <c r="B1013" s="35" t="s">
        <v>345</v>
      </c>
      <c r="C1013" s="35" t="str">
        <f aca="false">"0038329"</f>
        <v>0038329</v>
      </c>
      <c r="D1013" s="37" t="s">
        <v>871</v>
      </c>
      <c r="E1013" s="35" t="n">
        <v>2008</v>
      </c>
      <c r="F1013" s="38" t="n">
        <v>2807.7</v>
      </c>
      <c r="G1013" s="39" t="n">
        <v>1</v>
      </c>
      <c r="H1013" s="40" t="n">
        <v>340</v>
      </c>
    </row>
    <row r="1014" s="33" customFormat="true" ht="14.25" hidden="false" customHeight="false" outlineLevel="0" collapsed="false">
      <c r="A1014" s="34" t="n">
        <f aca="false">A1013+1</f>
        <v>1009</v>
      </c>
      <c r="B1014" s="35" t="s">
        <v>345</v>
      </c>
      <c r="C1014" s="35" t="str">
        <f aca="false">"0038330"</f>
        <v>0038330</v>
      </c>
      <c r="D1014" s="37" t="s">
        <v>872</v>
      </c>
      <c r="E1014" s="35" t="n">
        <v>2008</v>
      </c>
      <c r="F1014" s="38" t="n">
        <v>41068.6</v>
      </c>
      <c r="G1014" s="39" t="n">
        <v>1</v>
      </c>
      <c r="H1014" s="40" t="n">
        <v>5000</v>
      </c>
    </row>
    <row r="1015" s="33" customFormat="true" ht="14.25" hidden="false" customHeight="false" outlineLevel="0" collapsed="false">
      <c r="A1015" s="34" t="n">
        <f aca="false">A1014+1</f>
        <v>1010</v>
      </c>
      <c r="B1015" s="35" t="s">
        <v>345</v>
      </c>
      <c r="C1015" s="35" t="str">
        <f aca="false">"0038331"</f>
        <v>0038331</v>
      </c>
      <c r="D1015" s="37" t="s">
        <v>873</v>
      </c>
      <c r="E1015" s="35" t="n">
        <v>2008</v>
      </c>
      <c r="F1015" s="38" t="n">
        <v>5650.4</v>
      </c>
      <c r="G1015" s="39" t="n">
        <v>1</v>
      </c>
      <c r="H1015" s="40" t="n">
        <v>680</v>
      </c>
    </row>
    <row r="1016" s="33" customFormat="true" ht="14.25" hidden="false" customHeight="false" outlineLevel="0" collapsed="false">
      <c r="A1016" s="34" t="n">
        <f aca="false">A1015+1</f>
        <v>1011</v>
      </c>
      <c r="B1016" s="35" t="s">
        <v>345</v>
      </c>
      <c r="C1016" s="35" t="str">
        <f aca="false">"0038424"</f>
        <v>0038424</v>
      </c>
      <c r="D1016" s="37" t="s">
        <v>874</v>
      </c>
      <c r="E1016" s="35" t="n">
        <v>2008</v>
      </c>
      <c r="F1016" s="38" t="n">
        <v>1263.9</v>
      </c>
      <c r="G1016" s="39" t="n">
        <v>1</v>
      </c>
      <c r="H1016" s="40" t="n">
        <v>160</v>
      </c>
    </row>
    <row r="1017" s="33" customFormat="true" ht="14.25" hidden="false" customHeight="false" outlineLevel="0" collapsed="false">
      <c r="A1017" s="34" t="n">
        <f aca="false">A1016+1</f>
        <v>1012</v>
      </c>
      <c r="B1017" s="35" t="s">
        <v>345</v>
      </c>
      <c r="C1017" s="35" t="str">
        <f aca="false">"0038471"</f>
        <v>0038471</v>
      </c>
      <c r="D1017" s="37" t="s">
        <v>875</v>
      </c>
      <c r="E1017" s="35" t="n">
        <v>2008</v>
      </c>
      <c r="F1017" s="38" t="n">
        <v>2248.53</v>
      </c>
      <c r="G1017" s="39" t="n">
        <v>2</v>
      </c>
      <c r="H1017" s="40" t="n">
        <v>560</v>
      </c>
    </row>
    <row r="1018" s="33" customFormat="true" ht="14.25" hidden="false" customHeight="false" outlineLevel="0" collapsed="false">
      <c r="A1018" s="34" t="n">
        <f aca="false">A1017+1</f>
        <v>1013</v>
      </c>
      <c r="B1018" s="35" t="s">
        <v>345</v>
      </c>
      <c r="C1018" s="35" t="str">
        <f aca="false">"0038473"</f>
        <v>0038473</v>
      </c>
      <c r="D1018" s="37" t="s">
        <v>876</v>
      </c>
      <c r="E1018" s="35" t="n">
        <v>2008</v>
      </c>
      <c r="F1018" s="38" t="n">
        <v>8723.3</v>
      </c>
      <c r="G1018" s="39" t="n">
        <v>1</v>
      </c>
      <c r="H1018" s="40" t="n">
        <v>1100</v>
      </c>
    </row>
    <row r="1019" s="33" customFormat="true" ht="14.25" hidden="false" customHeight="false" outlineLevel="0" collapsed="false">
      <c r="A1019" s="34" t="n">
        <f aca="false">A1018+1</f>
        <v>1014</v>
      </c>
      <c r="B1019" s="35" t="s">
        <v>345</v>
      </c>
      <c r="C1019" s="35" t="str">
        <f aca="false">"0038474"</f>
        <v>0038474</v>
      </c>
      <c r="D1019" s="37" t="s">
        <v>877</v>
      </c>
      <c r="E1019" s="35" t="n">
        <v>2008</v>
      </c>
      <c r="F1019" s="38" t="n">
        <v>29585.1</v>
      </c>
      <c r="G1019" s="39" t="n">
        <v>1</v>
      </c>
      <c r="H1019" s="40" t="n">
        <v>3600</v>
      </c>
    </row>
    <row r="1020" s="33" customFormat="true" ht="14.25" hidden="false" customHeight="false" outlineLevel="0" collapsed="false">
      <c r="A1020" s="34" t="n">
        <f aca="false">A1019+1</f>
        <v>1015</v>
      </c>
      <c r="B1020" s="35" t="s">
        <v>345</v>
      </c>
      <c r="C1020" s="35" t="str">
        <f aca="false">"0038477"</f>
        <v>0038477</v>
      </c>
      <c r="D1020" s="37" t="s">
        <v>873</v>
      </c>
      <c r="E1020" s="35" t="n">
        <v>2008</v>
      </c>
      <c r="F1020" s="38" t="n">
        <v>5650.4</v>
      </c>
      <c r="G1020" s="39" t="n">
        <v>1</v>
      </c>
      <c r="H1020" s="40" t="n">
        <v>700</v>
      </c>
    </row>
    <row r="1021" s="33" customFormat="true" ht="14.25" hidden="false" customHeight="false" outlineLevel="0" collapsed="false">
      <c r="A1021" s="34" t="n">
        <f aca="false">A1020+1</f>
        <v>1016</v>
      </c>
      <c r="B1021" s="35" t="s">
        <v>345</v>
      </c>
      <c r="C1021" s="35" t="str">
        <f aca="false">"0038478"</f>
        <v>0038478</v>
      </c>
      <c r="D1021" s="37" t="s">
        <v>827</v>
      </c>
      <c r="E1021" s="35" t="n">
        <v>2008</v>
      </c>
      <c r="F1021" s="38" t="n">
        <v>2671.5</v>
      </c>
      <c r="G1021" s="39" t="n">
        <v>1</v>
      </c>
      <c r="H1021" s="40" t="n">
        <v>325</v>
      </c>
    </row>
    <row r="1022" s="33" customFormat="true" ht="14.25" hidden="false" customHeight="false" outlineLevel="0" collapsed="false">
      <c r="A1022" s="34" t="n">
        <f aca="false">A1021+1</f>
        <v>1017</v>
      </c>
      <c r="B1022" s="35" t="s">
        <v>345</v>
      </c>
      <c r="C1022" s="35" t="str">
        <f aca="false">"0038880"</f>
        <v>0038880</v>
      </c>
      <c r="D1022" s="37" t="s">
        <v>878</v>
      </c>
      <c r="E1022" s="35" t="n">
        <v>2008</v>
      </c>
      <c r="F1022" s="38" t="n">
        <v>11720</v>
      </c>
      <c r="G1022" s="39" t="n">
        <v>1</v>
      </c>
      <c r="H1022" s="40" t="n">
        <v>1430</v>
      </c>
    </row>
    <row r="1023" s="33" customFormat="true" ht="14.25" hidden="false" customHeight="false" outlineLevel="0" collapsed="false">
      <c r="A1023" s="34" t="n">
        <f aca="false">A1022+1</f>
        <v>1018</v>
      </c>
      <c r="B1023" s="35" t="s">
        <v>345</v>
      </c>
      <c r="C1023" s="35" t="str">
        <f aca="false">"0038884"</f>
        <v>0038884</v>
      </c>
      <c r="D1023" s="37" t="s">
        <v>879</v>
      </c>
      <c r="E1023" s="35" t="n">
        <v>2008</v>
      </c>
      <c r="F1023" s="38" t="n">
        <v>5915.79</v>
      </c>
      <c r="G1023" s="39" t="n">
        <v>1</v>
      </c>
      <c r="H1023" s="40" t="n">
        <v>720</v>
      </c>
    </row>
    <row r="1024" s="33" customFormat="true" ht="14.25" hidden="false" customHeight="false" outlineLevel="0" collapsed="false">
      <c r="A1024" s="34" t="n">
        <f aca="false">A1023+1</f>
        <v>1019</v>
      </c>
      <c r="B1024" s="35" t="s">
        <v>345</v>
      </c>
      <c r="C1024" s="35" t="str">
        <f aca="false">"0038885"</f>
        <v>0038885</v>
      </c>
      <c r="D1024" s="37" t="s">
        <v>880</v>
      </c>
      <c r="E1024" s="35" t="n">
        <v>2008</v>
      </c>
      <c r="F1024" s="38" t="n">
        <v>3490</v>
      </c>
      <c r="G1024" s="39" t="n">
        <v>1</v>
      </c>
      <c r="H1024" s="40" t="n">
        <v>430</v>
      </c>
    </row>
    <row r="1025" s="33" customFormat="true" ht="14.25" hidden="false" customHeight="false" outlineLevel="0" collapsed="false">
      <c r="A1025" s="34" t="n">
        <f aca="false">A1024+1</f>
        <v>1020</v>
      </c>
      <c r="B1025" s="35" t="s">
        <v>345</v>
      </c>
      <c r="C1025" s="35" t="str">
        <f aca="false">"0038886"</f>
        <v>0038886</v>
      </c>
      <c r="D1025" s="37" t="s">
        <v>881</v>
      </c>
      <c r="E1025" s="35" t="n">
        <v>2008</v>
      </c>
      <c r="F1025" s="38" t="n">
        <v>10732.5</v>
      </c>
      <c r="G1025" s="39" t="n">
        <v>4</v>
      </c>
      <c r="H1025" s="40" t="n">
        <v>5200</v>
      </c>
    </row>
    <row r="1026" s="33" customFormat="true" ht="14.25" hidden="false" customHeight="false" outlineLevel="0" collapsed="false">
      <c r="A1026" s="34" t="n">
        <f aca="false">A1025+1</f>
        <v>1021</v>
      </c>
      <c r="B1026" s="35" t="s">
        <v>345</v>
      </c>
      <c r="C1026" s="35" t="str">
        <f aca="false">"0038890"</f>
        <v>0038890</v>
      </c>
      <c r="D1026" s="37" t="s">
        <v>863</v>
      </c>
      <c r="E1026" s="35" t="n">
        <v>2008</v>
      </c>
      <c r="F1026" s="38" t="n">
        <v>3983.61</v>
      </c>
      <c r="G1026" s="39" t="n">
        <v>1</v>
      </c>
      <c r="H1026" s="40" t="n">
        <v>500</v>
      </c>
    </row>
    <row r="1027" s="33" customFormat="true" ht="14.25" hidden="false" customHeight="false" outlineLevel="0" collapsed="false">
      <c r="A1027" s="34" t="n">
        <f aca="false">A1026+1</f>
        <v>1022</v>
      </c>
      <c r="B1027" s="35" t="s">
        <v>345</v>
      </c>
      <c r="C1027" s="35" t="str">
        <f aca="false">"0039015"</f>
        <v>0039015</v>
      </c>
      <c r="D1027" s="37" t="s">
        <v>791</v>
      </c>
      <c r="E1027" s="35" t="n">
        <v>2008</v>
      </c>
      <c r="F1027" s="38" t="n">
        <v>4486</v>
      </c>
      <c r="G1027" s="39" t="n">
        <v>3</v>
      </c>
      <c r="H1027" s="40" t="n">
        <v>1650</v>
      </c>
    </row>
    <row r="1028" s="33" customFormat="true" ht="14.25" hidden="false" customHeight="false" outlineLevel="0" collapsed="false">
      <c r="A1028" s="34" t="n">
        <f aca="false">A1027+1</f>
        <v>1023</v>
      </c>
      <c r="B1028" s="35" t="s">
        <v>345</v>
      </c>
      <c r="C1028" s="35" t="str">
        <f aca="false">"0039018"</f>
        <v>0039018</v>
      </c>
      <c r="D1028" s="37" t="s">
        <v>882</v>
      </c>
      <c r="E1028" s="35" t="n">
        <v>2008</v>
      </c>
      <c r="F1028" s="38" t="n">
        <v>2497.9</v>
      </c>
      <c r="G1028" s="39" t="n">
        <v>5</v>
      </c>
      <c r="H1028" s="40" t="n">
        <v>1500</v>
      </c>
    </row>
    <row r="1029" s="33" customFormat="true" ht="14.25" hidden="false" customHeight="false" outlineLevel="0" collapsed="false">
      <c r="A1029" s="34" t="n">
        <f aca="false">A1028+1</f>
        <v>1024</v>
      </c>
      <c r="B1029" s="35" t="s">
        <v>345</v>
      </c>
      <c r="C1029" s="35" t="str">
        <f aca="false">"0039024"</f>
        <v>0039024</v>
      </c>
      <c r="D1029" s="37" t="s">
        <v>883</v>
      </c>
      <c r="E1029" s="35" t="n">
        <v>2008</v>
      </c>
      <c r="F1029" s="38" t="n">
        <v>3986</v>
      </c>
      <c r="G1029" s="39" t="n">
        <v>2</v>
      </c>
      <c r="H1029" s="40" t="n">
        <v>1000</v>
      </c>
    </row>
    <row r="1030" s="33" customFormat="true" ht="14.25" hidden="false" customHeight="false" outlineLevel="0" collapsed="false">
      <c r="A1030" s="34" t="n">
        <f aca="false">A1029+1</f>
        <v>1025</v>
      </c>
      <c r="B1030" s="35" t="s">
        <v>345</v>
      </c>
      <c r="C1030" s="35" t="str">
        <f aca="false">"0039027"</f>
        <v>0039027</v>
      </c>
      <c r="D1030" s="37" t="s">
        <v>844</v>
      </c>
      <c r="E1030" s="35" t="n">
        <v>2008</v>
      </c>
      <c r="F1030" s="38" t="n">
        <v>9417.1</v>
      </c>
      <c r="G1030" s="39" t="n">
        <v>1</v>
      </c>
      <c r="H1030" s="40" t="n">
        <v>1150</v>
      </c>
    </row>
    <row r="1031" s="33" customFormat="true" ht="14.25" hidden="false" customHeight="false" outlineLevel="0" collapsed="false">
      <c r="A1031" s="34" t="n">
        <f aca="false">A1030+1</f>
        <v>1026</v>
      </c>
      <c r="B1031" s="35" t="s">
        <v>345</v>
      </c>
      <c r="C1031" s="35" t="str">
        <f aca="false">"0039028"</f>
        <v>0039028</v>
      </c>
      <c r="D1031" s="37" t="s">
        <v>844</v>
      </c>
      <c r="E1031" s="35" t="n">
        <v>2008</v>
      </c>
      <c r="F1031" s="38" t="n">
        <v>8734.6</v>
      </c>
      <c r="G1031" s="39" t="n">
        <v>1</v>
      </c>
      <c r="H1031" s="40" t="n">
        <v>1100</v>
      </c>
    </row>
    <row r="1032" s="33" customFormat="true" ht="14.25" hidden="false" customHeight="false" outlineLevel="0" collapsed="false">
      <c r="A1032" s="34" t="n">
        <f aca="false">A1031+1</f>
        <v>1027</v>
      </c>
      <c r="B1032" s="35" t="s">
        <v>345</v>
      </c>
      <c r="C1032" s="35" t="str">
        <f aca="false">"0039201"</f>
        <v>0039201</v>
      </c>
      <c r="D1032" s="37" t="s">
        <v>884</v>
      </c>
      <c r="E1032" s="35" t="n">
        <v>2008</v>
      </c>
      <c r="F1032" s="38" t="n">
        <v>26453.7</v>
      </c>
      <c r="G1032" s="39" t="n">
        <v>1</v>
      </c>
      <c r="H1032" s="40" t="n">
        <v>3250</v>
      </c>
    </row>
    <row r="1033" s="33" customFormat="true" ht="14.25" hidden="false" customHeight="false" outlineLevel="0" collapsed="false">
      <c r="A1033" s="34" t="n">
        <f aca="false">A1032+1</f>
        <v>1028</v>
      </c>
      <c r="B1033" s="35" t="s">
        <v>345</v>
      </c>
      <c r="C1033" s="35" t="str">
        <f aca="false">"0039202"</f>
        <v>0039202</v>
      </c>
      <c r="D1033" s="37" t="s">
        <v>885</v>
      </c>
      <c r="E1033" s="35" t="n">
        <v>2008</v>
      </c>
      <c r="F1033" s="38" t="n">
        <v>37735.5</v>
      </c>
      <c r="G1033" s="39" t="n">
        <v>1</v>
      </c>
      <c r="H1033" s="40" t="n">
        <v>4600</v>
      </c>
    </row>
    <row r="1034" s="33" customFormat="true" ht="14.25" hidden="false" customHeight="false" outlineLevel="0" collapsed="false">
      <c r="A1034" s="34" t="n">
        <f aca="false">A1033+1</f>
        <v>1029</v>
      </c>
      <c r="B1034" s="35" t="s">
        <v>345</v>
      </c>
      <c r="C1034" s="35" t="str">
        <f aca="false">"0039203"</f>
        <v>0039203</v>
      </c>
      <c r="D1034" s="37" t="s">
        <v>886</v>
      </c>
      <c r="E1034" s="35" t="n">
        <v>2008</v>
      </c>
      <c r="F1034" s="38" t="n">
        <v>9358.2</v>
      </c>
      <c r="G1034" s="39" t="n">
        <v>1</v>
      </c>
      <c r="H1034" s="40" t="n">
        <v>1150</v>
      </c>
    </row>
    <row r="1035" s="33" customFormat="true" ht="14.25" hidden="false" customHeight="false" outlineLevel="0" collapsed="false">
      <c r="A1035" s="34" t="n">
        <f aca="false">A1034+1</f>
        <v>1030</v>
      </c>
      <c r="B1035" s="35" t="s">
        <v>345</v>
      </c>
      <c r="C1035" s="35" t="str">
        <f aca="false">"0039425"</f>
        <v>0039425</v>
      </c>
      <c r="D1035" s="37" t="s">
        <v>844</v>
      </c>
      <c r="E1035" s="35" t="n">
        <v>2009</v>
      </c>
      <c r="F1035" s="38" t="n">
        <v>7577.2</v>
      </c>
      <c r="G1035" s="39" t="n">
        <v>1</v>
      </c>
      <c r="H1035" s="40" t="n">
        <v>1050</v>
      </c>
    </row>
    <row r="1036" s="33" customFormat="true" ht="14.25" hidden="false" customHeight="false" outlineLevel="0" collapsed="false">
      <c r="A1036" s="34" t="n">
        <f aca="false">A1035+1</f>
        <v>1031</v>
      </c>
      <c r="B1036" s="35" t="s">
        <v>345</v>
      </c>
      <c r="C1036" s="35" t="str">
        <f aca="false">"0039426"</f>
        <v>0039426</v>
      </c>
      <c r="D1036" s="37" t="s">
        <v>844</v>
      </c>
      <c r="E1036" s="35" t="n">
        <v>2009</v>
      </c>
      <c r="F1036" s="38" t="n">
        <v>6884.8</v>
      </c>
      <c r="G1036" s="39" t="n">
        <v>1</v>
      </c>
      <c r="H1036" s="40" t="n">
        <v>950</v>
      </c>
    </row>
    <row r="1037" s="33" customFormat="true" ht="14.25" hidden="false" customHeight="false" outlineLevel="0" collapsed="false">
      <c r="A1037" s="34" t="n">
        <f aca="false">A1036+1</f>
        <v>1032</v>
      </c>
      <c r="B1037" s="35" t="s">
        <v>345</v>
      </c>
      <c r="C1037" s="35" t="str">
        <f aca="false">"0039427"</f>
        <v>0039427</v>
      </c>
      <c r="D1037" s="37" t="s">
        <v>844</v>
      </c>
      <c r="E1037" s="35" t="n">
        <v>2009</v>
      </c>
      <c r="F1037" s="38" t="n">
        <v>7834.4</v>
      </c>
      <c r="G1037" s="39" t="n">
        <v>1</v>
      </c>
      <c r="H1037" s="40" t="n">
        <v>1100</v>
      </c>
    </row>
    <row r="1038" s="33" customFormat="true" ht="14.25" hidden="false" customHeight="false" outlineLevel="0" collapsed="false">
      <c r="A1038" s="34" t="n">
        <f aca="false">A1037+1</f>
        <v>1033</v>
      </c>
      <c r="B1038" s="35" t="s">
        <v>345</v>
      </c>
      <c r="C1038" s="35" t="str">
        <f aca="false">"0039428"</f>
        <v>0039428</v>
      </c>
      <c r="D1038" s="37" t="s">
        <v>814</v>
      </c>
      <c r="E1038" s="35" t="n">
        <v>2009</v>
      </c>
      <c r="F1038" s="38" t="n">
        <v>13985.2</v>
      </c>
      <c r="G1038" s="39" t="n">
        <v>1</v>
      </c>
      <c r="H1038" s="40" t="n">
        <v>1930</v>
      </c>
    </row>
    <row r="1039" s="33" customFormat="true" ht="14.25" hidden="false" customHeight="false" outlineLevel="0" collapsed="false">
      <c r="A1039" s="34" t="n">
        <f aca="false">A1038+1</f>
        <v>1034</v>
      </c>
      <c r="B1039" s="35" t="s">
        <v>345</v>
      </c>
      <c r="C1039" s="35" t="str">
        <f aca="false">"0039502"</f>
        <v>0039502</v>
      </c>
      <c r="D1039" s="37" t="s">
        <v>887</v>
      </c>
      <c r="E1039" s="35" t="n">
        <v>2009</v>
      </c>
      <c r="F1039" s="38" t="n">
        <v>16493.13</v>
      </c>
      <c r="G1039" s="39" t="n">
        <v>1</v>
      </c>
      <c r="H1039" s="40" t="n">
        <v>2300</v>
      </c>
    </row>
    <row r="1040" s="33" customFormat="true" ht="14.25" hidden="false" customHeight="false" outlineLevel="0" collapsed="false">
      <c r="A1040" s="34" t="n">
        <f aca="false">A1039+1</f>
        <v>1035</v>
      </c>
      <c r="B1040" s="35" t="s">
        <v>345</v>
      </c>
      <c r="C1040" s="35" t="str">
        <f aca="false">"0039527"</f>
        <v>0039527</v>
      </c>
      <c r="D1040" s="37" t="s">
        <v>888</v>
      </c>
      <c r="E1040" s="35" t="n">
        <v>2009</v>
      </c>
      <c r="F1040" s="38" t="n">
        <v>3710.7</v>
      </c>
      <c r="G1040" s="39" t="n">
        <v>1</v>
      </c>
      <c r="H1040" s="40" t="n">
        <v>520</v>
      </c>
    </row>
    <row r="1041" s="33" customFormat="true" ht="14.25" hidden="false" customHeight="false" outlineLevel="0" collapsed="false">
      <c r="A1041" s="34" t="n">
        <f aca="false">A1040+1</f>
        <v>1036</v>
      </c>
      <c r="B1041" s="35" t="s">
        <v>345</v>
      </c>
      <c r="C1041" s="35" t="str">
        <f aca="false">"0039533"</f>
        <v>0039533</v>
      </c>
      <c r="D1041" s="37" t="s">
        <v>889</v>
      </c>
      <c r="E1041" s="35" t="n">
        <v>2009</v>
      </c>
      <c r="F1041" s="38" t="n">
        <v>10935</v>
      </c>
      <c r="G1041" s="39" t="n">
        <v>1</v>
      </c>
      <c r="H1041" s="40" t="n">
        <v>1505</v>
      </c>
    </row>
    <row r="1042" s="33" customFormat="true" ht="14.25" hidden="false" customHeight="false" outlineLevel="0" collapsed="false">
      <c r="A1042" s="34" t="n">
        <f aca="false">A1041+1</f>
        <v>1037</v>
      </c>
      <c r="B1042" s="35" t="s">
        <v>345</v>
      </c>
      <c r="C1042" s="35" t="str">
        <f aca="false">"0039534"</f>
        <v>0039534</v>
      </c>
      <c r="D1042" s="37" t="s">
        <v>890</v>
      </c>
      <c r="E1042" s="35" t="n">
        <v>2009</v>
      </c>
      <c r="F1042" s="38" t="n">
        <v>16334.2</v>
      </c>
      <c r="G1042" s="39" t="n">
        <v>2</v>
      </c>
      <c r="H1042" s="40" t="n">
        <v>4500</v>
      </c>
    </row>
    <row r="1043" s="33" customFormat="true" ht="14.25" hidden="false" customHeight="false" outlineLevel="0" collapsed="false">
      <c r="A1043" s="34" t="n">
        <f aca="false">A1042+1</f>
        <v>1038</v>
      </c>
      <c r="B1043" s="35" t="s">
        <v>345</v>
      </c>
      <c r="C1043" s="35" t="str">
        <f aca="false">"0039536"</f>
        <v>0039536</v>
      </c>
      <c r="D1043" s="37" t="s">
        <v>891</v>
      </c>
      <c r="E1043" s="35" t="n">
        <v>2009</v>
      </c>
      <c r="F1043" s="38" t="n">
        <v>8727.8</v>
      </c>
      <c r="G1043" s="39" t="n">
        <v>1</v>
      </c>
      <c r="H1043" s="40" t="n">
        <v>1250</v>
      </c>
    </row>
    <row r="1044" s="33" customFormat="true" ht="14.25" hidden="false" customHeight="false" outlineLevel="0" collapsed="false">
      <c r="A1044" s="34" t="n">
        <f aca="false">A1043+1</f>
        <v>1039</v>
      </c>
      <c r="B1044" s="35" t="s">
        <v>345</v>
      </c>
      <c r="C1044" s="35" t="str">
        <f aca="false">"0039537"</f>
        <v>0039537</v>
      </c>
      <c r="D1044" s="37" t="s">
        <v>892</v>
      </c>
      <c r="E1044" s="35" t="n">
        <v>2009</v>
      </c>
      <c r="F1044" s="38" t="n">
        <v>33528</v>
      </c>
      <c r="G1044" s="39" t="n">
        <v>1</v>
      </c>
      <c r="H1044" s="40" t="n">
        <v>4615</v>
      </c>
    </row>
    <row r="1045" s="33" customFormat="true" ht="14.25" hidden="false" customHeight="false" outlineLevel="0" collapsed="false">
      <c r="A1045" s="34" t="n">
        <f aca="false">A1044+1</f>
        <v>1040</v>
      </c>
      <c r="B1045" s="35" t="s">
        <v>345</v>
      </c>
      <c r="C1045" s="35" t="str">
        <f aca="false">"0039700"</f>
        <v>0039700</v>
      </c>
      <c r="D1045" s="37" t="s">
        <v>893</v>
      </c>
      <c r="E1045" s="35" t="n">
        <v>2009</v>
      </c>
      <c r="F1045" s="38" t="n">
        <v>2854</v>
      </c>
      <c r="G1045" s="39" t="n">
        <v>1</v>
      </c>
      <c r="H1045" s="40" t="n">
        <v>395</v>
      </c>
    </row>
    <row r="1046" s="33" customFormat="true" ht="14.25" hidden="false" customHeight="false" outlineLevel="0" collapsed="false">
      <c r="A1046" s="34" t="n">
        <f aca="false">A1045+1</f>
        <v>1041</v>
      </c>
      <c r="B1046" s="35" t="s">
        <v>345</v>
      </c>
      <c r="C1046" s="35" t="str">
        <f aca="false">"0039701"</f>
        <v>0039701</v>
      </c>
      <c r="D1046" s="37" t="s">
        <v>894</v>
      </c>
      <c r="E1046" s="35" t="n">
        <v>2009</v>
      </c>
      <c r="F1046" s="38" t="n">
        <v>2854</v>
      </c>
      <c r="G1046" s="39" t="n">
        <v>1</v>
      </c>
      <c r="H1046" s="40" t="n">
        <v>395</v>
      </c>
    </row>
    <row r="1047" s="33" customFormat="true" ht="14.25" hidden="false" customHeight="false" outlineLevel="0" collapsed="false">
      <c r="A1047" s="34" t="n">
        <f aca="false">A1046+1</f>
        <v>1042</v>
      </c>
      <c r="B1047" s="35" t="s">
        <v>345</v>
      </c>
      <c r="C1047" s="35" t="str">
        <f aca="false">"0039702"</f>
        <v>0039702</v>
      </c>
      <c r="D1047" s="37" t="s">
        <v>895</v>
      </c>
      <c r="E1047" s="35" t="n">
        <v>2009</v>
      </c>
      <c r="F1047" s="38" t="n">
        <v>5120</v>
      </c>
      <c r="G1047" s="39" t="n">
        <v>1</v>
      </c>
      <c r="H1047" s="40" t="n">
        <v>705</v>
      </c>
    </row>
    <row r="1048" s="33" customFormat="true" ht="14.25" hidden="false" customHeight="false" outlineLevel="0" collapsed="false">
      <c r="A1048" s="34" t="n">
        <f aca="false">A1047+1</f>
        <v>1043</v>
      </c>
      <c r="B1048" s="35" t="s">
        <v>345</v>
      </c>
      <c r="C1048" s="35" t="str">
        <f aca="false">"0039703"</f>
        <v>0039703</v>
      </c>
      <c r="D1048" s="37" t="s">
        <v>896</v>
      </c>
      <c r="E1048" s="35" t="n">
        <v>2009</v>
      </c>
      <c r="F1048" s="38" t="n">
        <v>3478</v>
      </c>
      <c r="G1048" s="39" t="n">
        <v>1</v>
      </c>
      <c r="H1048" s="40" t="n">
        <v>480</v>
      </c>
    </row>
    <row r="1049" s="33" customFormat="true" ht="14.25" hidden="false" customHeight="false" outlineLevel="0" collapsed="false">
      <c r="A1049" s="34" t="n">
        <f aca="false">A1048+1</f>
        <v>1044</v>
      </c>
      <c r="B1049" s="35" t="s">
        <v>345</v>
      </c>
      <c r="C1049" s="35" t="str">
        <f aca="false">"0039704"</f>
        <v>0039704</v>
      </c>
      <c r="D1049" s="37" t="s">
        <v>897</v>
      </c>
      <c r="E1049" s="35" t="n">
        <v>2009</v>
      </c>
      <c r="F1049" s="38" t="n">
        <v>4081</v>
      </c>
      <c r="G1049" s="39" t="n">
        <v>1</v>
      </c>
      <c r="H1049" s="40" t="n">
        <v>560</v>
      </c>
    </row>
    <row r="1050" s="33" customFormat="true" ht="14.25" hidden="false" customHeight="false" outlineLevel="0" collapsed="false">
      <c r="A1050" s="34" t="n">
        <f aca="false">A1049+1</f>
        <v>1045</v>
      </c>
      <c r="B1050" s="35" t="s">
        <v>345</v>
      </c>
      <c r="C1050" s="35" t="str">
        <f aca="false">"0039705"</f>
        <v>0039705</v>
      </c>
      <c r="D1050" s="37" t="s">
        <v>898</v>
      </c>
      <c r="E1050" s="35" t="n">
        <v>2009</v>
      </c>
      <c r="F1050" s="38" t="n">
        <v>2854</v>
      </c>
      <c r="G1050" s="39" t="n">
        <v>1</v>
      </c>
      <c r="H1050" s="40" t="n">
        <v>395</v>
      </c>
    </row>
    <row r="1051" s="33" customFormat="true" ht="14.25" hidden="false" customHeight="false" outlineLevel="0" collapsed="false">
      <c r="A1051" s="34" t="n">
        <f aca="false">A1050+1</f>
        <v>1046</v>
      </c>
      <c r="B1051" s="35" t="s">
        <v>345</v>
      </c>
      <c r="C1051" s="35" t="str">
        <f aca="false">"0039706"</f>
        <v>0039706</v>
      </c>
      <c r="D1051" s="37" t="s">
        <v>899</v>
      </c>
      <c r="E1051" s="35" t="n">
        <v>2009</v>
      </c>
      <c r="F1051" s="38" t="n">
        <v>15782.25</v>
      </c>
      <c r="G1051" s="39" t="n">
        <v>1</v>
      </c>
      <c r="H1051" s="40" t="n">
        <v>2170</v>
      </c>
    </row>
    <row r="1052" s="33" customFormat="true" ht="14.25" hidden="false" customHeight="false" outlineLevel="0" collapsed="false">
      <c r="A1052" s="34" t="n">
        <f aca="false">A1051+1</f>
        <v>1047</v>
      </c>
      <c r="B1052" s="35" t="s">
        <v>345</v>
      </c>
      <c r="C1052" s="35" t="str">
        <f aca="false">"0039707"</f>
        <v>0039707</v>
      </c>
      <c r="D1052" s="37" t="s">
        <v>900</v>
      </c>
      <c r="E1052" s="35" t="n">
        <v>2009</v>
      </c>
      <c r="F1052" s="38" t="n">
        <v>6714.38</v>
      </c>
      <c r="G1052" s="39" t="n">
        <v>2</v>
      </c>
      <c r="H1052" s="40" t="n">
        <v>1850</v>
      </c>
    </row>
    <row r="1053" s="33" customFormat="true" ht="14.25" hidden="false" customHeight="false" outlineLevel="0" collapsed="false">
      <c r="A1053" s="34" t="n">
        <f aca="false">A1052+1</f>
        <v>1048</v>
      </c>
      <c r="B1053" s="35" t="s">
        <v>345</v>
      </c>
      <c r="C1053" s="35" t="str">
        <f aca="false">"0039827"</f>
        <v>0039827</v>
      </c>
      <c r="D1053" s="37" t="s">
        <v>901</v>
      </c>
      <c r="E1053" s="35" t="n">
        <v>2009</v>
      </c>
      <c r="F1053" s="38" t="n">
        <v>3750</v>
      </c>
      <c r="G1053" s="39" t="n">
        <v>1</v>
      </c>
      <c r="H1053" s="40" t="n">
        <v>515</v>
      </c>
    </row>
    <row r="1054" s="33" customFormat="true" ht="14.25" hidden="false" customHeight="false" outlineLevel="0" collapsed="false">
      <c r="A1054" s="34" t="n">
        <f aca="false">A1053+1</f>
        <v>1049</v>
      </c>
      <c r="B1054" s="35" t="s">
        <v>345</v>
      </c>
      <c r="C1054" s="35" t="str">
        <f aca="false">"0040004"</f>
        <v>0040004</v>
      </c>
      <c r="D1054" s="37" t="s">
        <v>902</v>
      </c>
      <c r="E1054" s="35" t="n">
        <v>2009</v>
      </c>
      <c r="F1054" s="38" t="n">
        <v>3953</v>
      </c>
      <c r="G1054" s="39" t="n">
        <v>1</v>
      </c>
      <c r="H1054" s="40" t="n">
        <v>545</v>
      </c>
    </row>
    <row r="1055" s="33" customFormat="true" ht="14.25" hidden="false" customHeight="false" outlineLevel="0" collapsed="false">
      <c r="A1055" s="34" t="n">
        <f aca="false">A1054+1</f>
        <v>1050</v>
      </c>
      <c r="B1055" s="35" t="s">
        <v>345</v>
      </c>
      <c r="C1055" s="35" t="str">
        <f aca="false">"0040005"</f>
        <v>0040005</v>
      </c>
      <c r="D1055" s="37" t="s">
        <v>903</v>
      </c>
      <c r="E1055" s="35" t="n">
        <v>2009</v>
      </c>
      <c r="F1055" s="38" t="n">
        <v>2280</v>
      </c>
      <c r="G1055" s="39" t="n">
        <v>1</v>
      </c>
      <c r="H1055" s="40" t="n">
        <v>315</v>
      </c>
    </row>
    <row r="1056" s="33" customFormat="true" ht="14.25" hidden="false" customHeight="false" outlineLevel="0" collapsed="false">
      <c r="A1056" s="34" t="n">
        <f aca="false">A1055+1</f>
        <v>1051</v>
      </c>
      <c r="B1056" s="35" t="s">
        <v>345</v>
      </c>
      <c r="C1056" s="35" t="str">
        <f aca="false">"0040006"</f>
        <v>0040006</v>
      </c>
      <c r="D1056" s="37" t="s">
        <v>904</v>
      </c>
      <c r="E1056" s="35" t="n">
        <v>2009</v>
      </c>
      <c r="F1056" s="38" t="n">
        <v>9057</v>
      </c>
      <c r="G1056" s="39" t="n">
        <v>1</v>
      </c>
      <c r="H1056" s="40" t="n">
        <v>1245</v>
      </c>
    </row>
    <row r="1057" s="33" customFormat="true" ht="14.25" hidden="false" customHeight="false" outlineLevel="0" collapsed="false">
      <c r="A1057" s="34" t="n">
        <f aca="false">A1056+1</f>
        <v>1052</v>
      </c>
      <c r="B1057" s="35" t="s">
        <v>345</v>
      </c>
      <c r="C1057" s="35" t="str">
        <f aca="false">"0040007"</f>
        <v>0040007</v>
      </c>
      <c r="D1057" s="37" t="s">
        <v>905</v>
      </c>
      <c r="E1057" s="35" t="n">
        <v>2009</v>
      </c>
      <c r="F1057" s="38" t="n">
        <v>17232</v>
      </c>
      <c r="G1057" s="39" t="n">
        <v>1</v>
      </c>
      <c r="H1057" s="40" t="n">
        <v>2370</v>
      </c>
    </row>
    <row r="1058" s="33" customFormat="true" ht="14.25" hidden="false" customHeight="false" outlineLevel="0" collapsed="false">
      <c r="A1058" s="34" t="n">
        <f aca="false">A1057+1</f>
        <v>1053</v>
      </c>
      <c r="B1058" s="35" t="s">
        <v>345</v>
      </c>
      <c r="C1058" s="35" t="str">
        <f aca="false">"0040008"</f>
        <v>0040008</v>
      </c>
      <c r="D1058" s="37" t="s">
        <v>906</v>
      </c>
      <c r="E1058" s="35" t="n">
        <v>2009</v>
      </c>
      <c r="F1058" s="38" t="n">
        <v>3091</v>
      </c>
      <c r="G1058" s="39" t="n">
        <v>1</v>
      </c>
      <c r="H1058" s="40" t="n">
        <v>425</v>
      </c>
    </row>
    <row r="1059" s="33" customFormat="true" ht="14.25" hidden="false" customHeight="false" outlineLevel="0" collapsed="false">
      <c r="A1059" s="34" t="n">
        <f aca="false">A1058+1</f>
        <v>1054</v>
      </c>
      <c r="B1059" s="35" t="s">
        <v>345</v>
      </c>
      <c r="C1059" s="35" t="str">
        <f aca="false">"0040009"</f>
        <v>0040009</v>
      </c>
      <c r="D1059" s="37" t="s">
        <v>907</v>
      </c>
      <c r="E1059" s="35" t="n">
        <v>2009</v>
      </c>
      <c r="F1059" s="38" t="n">
        <v>23314</v>
      </c>
      <c r="G1059" s="39" t="n">
        <v>2</v>
      </c>
      <c r="H1059" s="40" t="n">
        <v>6420</v>
      </c>
    </row>
    <row r="1060" s="33" customFormat="true" ht="14.25" hidden="false" customHeight="false" outlineLevel="0" collapsed="false">
      <c r="A1060" s="34" t="n">
        <f aca="false">A1059+1</f>
        <v>1055</v>
      </c>
      <c r="B1060" s="35" t="s">
        <v>345</v>
      </c>
      <c r="C1060" s="35" t="str">
        <f aca="false">"0040011"</f>
        <v>0040011</v>
      </c>
      <c r="D1060" s="37" t="s">
        <v>908</v>
      </c>
      <c r="E1060" s="35" t="n">
        <v>2009</v>
      </c>
      <c r="F1060" s="38" t="n">
        <v>5656</v>
      </c>
      <c r="G1060" s="39" t="n">
        <v>1</v>
      </c>
      <c r="H1060" s="40" t="n">
        <v>780</v>
      </c>
    </row>
    <row r="1061" s="33" customFormat="true" ht="14.25" hidden="false" customHeight="false" outlineLevel="0" collapsed="false">
      <c r="A1061" s="34" t="n">
        <f aca="false">A1060+1</f>
        <v>1056</v>
      </c>
      <c r="B1061" s="35" t="s">
        <v>345</v>
      </c>
      <c r="C1061" s="35" t="str">
        <f aca="false">"0040012"</f>
        <v>0040012</v>
      </c>
      <c r="D1061" s="37" t="s">
        <v>909</v>
      </c>
      <c r="E1061" s="35" t="n">
        <v>2009</v>
      </c>
      <c r="F1061" s="38" t="n">
        <v>5743.5</v>
      </c>
      <c r="G1061" s="39" t="n">
        <v>1</v>
      </c>
      <c r="H1061" s="40" t="n">
        <v>790</v>
      </c>
    </row>
    <row r="1062" s="33" customFormat="true" ht="14.25" hidden="false" customHeight="false" outlineLevel="0" collapsed="false">
      <c r="A1062" s="34" t="n">
        <f aca="false">A1061+1</f>
        <v>1057</v>
      </c>
      <c r="B1062" s="35" t="s">
        <v>345</v>
      </c>
      <c r="C1062" s="35" t="str">
        <f aca="false">"0040013"</f>
        <v>0040013</v>
      </c>
      <c r="D1062" s="37" t="s">
        <v>910</v>
      </c>
      <c r="E1062" s="35" t="n">
        <v>2009</v>
      </c>
      <c r="F1062" s="38" t="n">
        <v>2037</v>
      </c>
      <c r="G1062" s="39" t="n">
        <v>1</v>
      </c>
      <c r="H1062" s="40" t="n">
        <v>280</v>
      </c>
    </row>
    <row r="1063" s="33" customFormat="true" ht="14.25" hidden="false" customHeight="false" outlineLevel="0" collapsed="false">
      <c r="A1063" s="34" t="n">
        <f aca="false">A1062+1</f>
        <v>1058</v>
      </c>
      <c r="B1063" s="35" t="s">
        <v>345</v>
      </c>
      <c r="C1063" s="35" t="str">
        <f aca="false">"0040014"</f>
        <v>0040014</v>
      </c>
      <c r="D1063" s="37" t="s">
        <v>911</v>
      </c>
      <c r="E1063" s="35" t="n">
        <v>2009</v>
      </c>
      <c r="F1063" s="38" t="n">
        <v>16284</v>
      </c>
      <c r="G1063" s="39" t="n">
        <v>1</v>
      </c>
      <c r="H1063" s="40" t="n">
        <v>2240</v>
      </c>
    </row>
    <row r="1064" s="33" customFormat="true" ht="14.25" hidden="false" customHeight="false" outlineLevel="0" collapsed="false">
      <c r="A1064" s="34" t="n">
        <f aca="false">A1063+1</f>
        <v>1059</v>
      </c>
      <c r="B1064" s="35" t="s">
        <v>345</v>
      </c>
      <c r="C1064" s="35" t="str">
        <f aca="false">"0040015"</f>
        <v>0040015</v>
      </c>
      <c r="D1064" s="37" t="s">
        <v>912</v>
      </c>
      <c r="E1064" s="35" t="n">
        <v>2009</v>
      </c>
      <c r="F1064" s="38" t="n">
        <v>31744</v>
      </c>
      <c r="G1064" s="39" t="n">
        <v>1</v>
      </c>
      <c r="H1064" s="40" t="n">
        <v>4370</v>
      </c>
    </row>
    <row r="1065" s="33" customFormat="true" ht="14.25" hidden="false" customHeight="false" outlineLevel="0" collapsed="false">
      <c r="A1065" s="34" t="n">
        <f aca="false">A1064+1</f>
        <v>1060</v>
      </c>
      <c r="B1065" s="35" t="s">
        <v>345</v>
      </c>
      <c r="C1065" s="35" t="str">
        <f aca="false">"0040016"</f>
        <v>0040016</v>
      </c>
      <c r="D1065" s="37" t="s">
        <v>913</v>
      </c>
      <c r="E1065" s="35" t="n">
        <v>2009</v>
      </c>
      <c r="F1065" s="38" t="n">
        <v>8545</v>
      </c>
      <c r="G1065" s="39" t="n">
        <v>1</v>
      </c>
      <c r="H1065" s="40" t="n">
        <v>1175</v>
      </c>
    </row>
    <row r="1066" s="33" customFormat="true" ht="14.25" hidden="false" customHeight="false" outlineLevel="0" collapsed="false">
      <c r="A1066" s="34" t="n">
        <f aca="false">A1065+1</f>
        <v>1061</v>
      </c>
      <c r="B1066" s="35" t="s">
        <v>345</v>
      </c>
      <c r="C1066" s="35" t="str">
        <f aca="false">"0040017"</f>
        <v>0040017</v>
      </c>
      <c r="D1066" s="37" t="s">
        <v>914</v>
      </c>
      <c r="E1066" s="35" t="n">
        <v>2009</v>
      </c>
      <c r="F1066" s="38" t="n">
        <v>9325.5</v>
      </c>
      <c r="G1066" s="39" t="n">
        <v>1</v>
      </c>
      <c r="H1066" s="40" t="n">
        <v>1285</v>
      </c>
    </row>
    <row r="1067" s="33" customFormat="true" ht="14.25" hidden="false" customHeight="false" outlineLevel="0" collapsed="false">
      <c r="A1067" s="34" t="n">
        <f aca="false">A1066+1</f>
        <v>1062</v>
      </c>
      <c r="B1067" s="35" t="s">
        <v>345</v>
      </c>
      <c r="C1067" s="35" t="str">
        <f aca="false">"0040018"</f>
        <v>0040018</v>
      </c>
      <c r="D1067" s="37" t="s">
        <v>915</v>
      </c>
      <c r="E1067" s="35" t="n">
        <v>2009</v>
      </c>
      <c r="F1067" s="38" t="n">
        <v>3542</v>
      </c>
      <c r="G1067" s="39" t="n">
        <v>2</v>
      </c>
      <c r="H1067" s="40" t="n">
        <v>1000</v>
      </c>
    </row>
    <row r="1068" s="33" customFormat="true" ht="14.25" hidden="false" customHeight="false" outlineLevel="0" collapsed="false">
      <c r="A1068" s="34" t="n">
        <f aca="false">A1067+1</f>
        <v>1063</v>
      </c>
      <c r="B1068" s="35" t="s">
        <v>345</v>
      </c>
      <c r="C1068" s="35" t="str">
        <f aca="false">"0040020"</f>
        <v>0040020</v>
      </c>
      <c r="D1068" s="37" t="s">
        <v>916</v>
      </c>
      <c r="E1068" s="35" t="n">
        <v>2009</v>
      </c>
      <c r="F1068" s="38" t="n">
        <v>2537.43</v>
      </c>
      <c r="G1068" s="39" t="n">
        <v>1</v>
      </c>
      <c r="H1068" s="40" t="n">
        <v>350</v>
      </c>
    </row>
    <row r="1069" s="33" customFormat="true" ht="14.25" hidden="false" customHeight="false" outlineLevel="0" collapsed="false">
      <c r="A1069" s="34" t="n">
        <f aca="false">A1068+1</f>
        <v>1064</v>
      </c>
      <c r="B1069" s="35" t="s">
        <v>345</v>
      </c>
      <c r="C1069" s="35" t="str">
        <f aca="false">"0040021"</f>
        <v>0040021</v>
      </c>
      <c r="D1069" s="37" t="s">
        <v>917</v>
      </c>
      <c r="E1069" s="35" t="n">
        <v>2009</v>
      </c>
      <c r="F1069" s="38" t="n">
        <v>7754</v>
      </c>
      <c r="G1069" s="39" t="n">
        <v>1</v>
      </c>
      <c r="H1069" s="40" t="n">
        <v>1070</v>
      </c>
    </row>
    <row r="1070" s="33" customFormat="true" ht="14.25" hidden="false" customHeight="false" outlineLevel="0" collapsed="false">
      <c r="A1070" s="34" t="n">
        <f aca="false">A1069+1</f>
        <v>1065</v>
      </c>
      <c r="B1070" s="35" t="s">
        <v>345</v>
      </c>
      <c r="C1070" s="35" t="str">
        <f aca="false">"0040022"</f>
        <v>0040022</v>
      </c>
      <c r="D1070" s="37" t="s">
        <v>918</v>
      </c>
      <c r="E1070" s="35" t="n">
        <v>2009</v>
      </c>
      <c r="F1070" s="38" t="n">
        <v>5575</v>
      </c>
      <c r="G1070" s="39" t="n">
        <v>1</v>
      </c>
      <c r="H1070" s="40" t="n">
        <v>770</v>
      </c>
    </row>
    <row r="1071" s="33" customFormat="true" ht="14.25" hidden="false" customHeight="false" outlineLevel="0" collapsed="false">
      <c r="A1071" s="34" t="n">
        <f aca="false">A1070+1</f>
        <v>1066</v>
      </c>
      <c r="B1071" s="35" t="s">
        <v>345</v>
      </c>
      <c r="C1071" s="35" t="str">
        <f aca="false">"0040023"</f>
        <v>0040023</v>
      </c>
      <c r="D1071" s="37" t="s">
        <v>919</v>
      </c>
      <c r="E1071" s="35" t="n">
        <v>2009</v>
      </c>
      <c r="F1071" s="38" t="n">
        <v>15264</v>
      </c>
      <c r="G1071" s="39" t="n">
        <v>1</v>
      </c>
      <c r="H1071" s="40" t="n">
        <v>2100</v>
      </c>
    </row>
    <row r="1072" s="33" customFormat="true" ht="14.25" hidden="false" customHeight="false" outlineLevel="0" collapsed="false">
      <c r="A1072" s="34" t="n">
        <f aca="false">A1071+1</f>
        <v>1067</v>
      </c>
      <c r="B1072" s="35" t="s">
        <v>345</v>
      </c>
      <c r="C1072" s="35" t="str">
        <f aca="false">"0040025"</f>
        <v>0040025</v>
      </c>
      <c r="D1072" s="37" t="s">
        <v>920</v>
      </c>
      <c r="E1072" s="35" t="n">
        <v>2009</v>
      </c>
      <c r="F1072" s="38" t="n">
        <v>5376</v>
      </c>
      <c r="G1072" s="39" t="n">
        <v>1</v>
      </c>
      <c r="H1072" s="40" t="n">
        <v>740</v>
      </c>
    </row>
    <row r="1073" s="33" customFormat="true" ht="14.25" hidden="false" customHeight="false" outlineLevel="0" collapsed="false">
      <c r="A1073" s="34" t="n">
        <f aca="false">A1072+1</f>
        <v>1068</v>
      </c>
      <c r="B1073" s="35" t="s">
        <v>345</v>
      </c>
      <c r="C1073" s="35" t="str">
        <f aca="false">"0040026"</f>
        <v>0040026</v>
      </c>
      <c r="D1073" s="37" t="s">
        <v>921</v>
      </c>
      <c r="E1073" s="35" t="n">
        <v>2009</v>
      </c>
      <c r="F1073" s="38" t="n">
        <v>3538.1</v>
      </c>
      <c r="G1073" s="39" t="n">
        <v>1</v>
      </c>
      <c r="H1073" s="40" t="n">
        <v>500</v>
      </c>
    </row>
    <row r="1074" s="33" customFormat="true" ht="14.25" hidden="false" customHeight="false" outlineLevel="0" collapsed="false">
      <c r="A1074" s="34" t="n">
        <f aca="false">A1073+1</f>
        <v>1069</v>
      </c>
      <c r="B1074" s="35" t="s">
        <v>345</v>
      </c>
      <c r="C1074" s="35" t="str">
        <f aca="false">"0040034"</f>
        <v>0040034</v>
      </c>
      <c r="D1074" s="37" t="s">
        <v>922</v>
      </c>
      <c r="E1074" s="35" t="n">
        <v>2009</v>
      </c>
      <c r="F1074" s="38" t="n">
        <v>5250</v>
      </c>
      <c r="G1074" s="39" t="n">
        <v>1</v>
      </c>
      <c r="H1074" s="40" t="n">
        <v>720</v>
      </c>
    </row>
    <row r="1075" s="33" customFormat="true" ht="14.25" hidden="false" customHeight="false" outlineLevel="0" collapsed="false">
      <c r="A1075" s="34" t="n">
        <f aca="false">A1074+1</f>
        <v>1070</v>
      </c>
      <c r="B1075" s="35" t="s">
        <v>345</v>
      </c>
      <c r="C1075" s="35" t="str">
        <f aca="false">"0040035"</f>
        <v>0040035</v>
      </c>
      <c r="D1075" s="37" t="s">
        <v>923</v>
      </c>
      <c r="E1075" s="35" t="n">
        <v>2009</v>
      </c>
      <c r="F1075" s="38" t="n">
        <v>18560</v>
      </c>
      <c r="G1075" s="39" t="n">
        <v>1</v>
      </c>
      <c r="H1075" s="40" t="n">
        <v>2550</v>
      </c>
    </row>
    <row r="1076" s="33" customFormat="true" ht="14.25" hidden="false" customHeight="false" outlineLevel="0" collapsed="false">
      <c r="A1076" s="34" t="n">
        <f aca="false">A1075+1</f>
        <v>1071</v>
      </c>
      <c r="B1076" s="35" t="s">
        <v>345</v>
      </c>
      <c r="C1076" s="35" t="str">
        <f aca="false">"0040036"</f>
        <v>0040036</v>
      </c>
      <c r="D1076" s="37" t="s">
        <v>924</v>
      </c>
      <c r="E1076" s="35" t="n">
        <v>2009</v>
      </c>
      <c r="F1076" s="38" t="n">
        <v>2146.5</v>
      </c>
      <c r="G1076" s="39" t="n">
        <v>1</v>
      </c>
      <c r="H1076" s="40" t="n">
        <v>295</v>
      </c>
    </row>
    <row r="1077" s="33" customFormat="true" ht="14.25" hidden="false" customHeight="false" outlineLevel="0" collapsed="false">
      <c r="A1077" s="34" t="n">
        <f aca="false">A1076+1</f>
        <v>1072</v>
      </c>
      <c r="B1077" s="35" t="s">
        <v>345</v>
      </c>
      <c r="C1077" s="35" t="str">
        <f aca="false">"0040037"</f>
        <v>0040037</v>
      </c>
      <c r="D1077" s="37" t="s">
        <v>925</v>
      </c>
      <c r="E1077" s="35" t="n">
        <v>2009</v>
      </c>
      <c r="F1077" s="38" t="n">
        <v>3011</v>
      </c>
      <c r="G1077" s="39" t="n">
        <v>1</v>
      </c>
      <c r="H1077" s="40" t="n">
        <v>415</v>
      </c>
    </row>
    <row r="1078" s="33" customFormat="true" ht="14.25" hidden="false" customHeight="false" outlineLevel="0" collapsed="false">
      <c r="A1078" s="34" t="n">
        <f aca="false">A1077+1</f>
        <v>1073</v>
      </c>
      <c r="B1078" s="35" t="s">
        <v>345</v>
      </c>
      <c r="C1078" s="35" t="str">
        <f aca="false">"0040038"</f>
        <v>0040038</v>
      </c>
      <c r="D1078" s="37" t="s">
        <v>926</v>
      </c>
      <c r="E1078" s="35" t="n">
        <v>2009</v>
      </c>
      <c r="F1078" s="38" t="n">
        <v>5931</v>
      </c>
      <c r="G1078" s="39" t="n">
        <v>1</v>
      </c>
      <c r="H1078" s="40" t="n">
        <v>815</v>
      </c>
    </row>
    <row r="1079" s="33" customFormat="true" ht="14.25" hidden="false" customHeight="false" outlineLevel="0" collapsed="false">
      <c r="A1079" s="34" t="n">
        <f aca="false">A1078+1</f>
        <v>1074</v>
      </c>
      <c r="B1079" s="35" t="s">
        <v>345</v>
      </c>
      <c r="C1079" s="35" t="str">
        <f aca="false">"0040039"</f>
        <v>0040039</v>
      </c>
      <c r="D1079" s="37" t="s">
        <v>927</v>
      </c>
      <c r="E1079" s="35" t="n">
        <v>2009</v>
      </c>
      <c r="F1079" s="38" t="n">
        <v>12905</v>
      </c>
      <c r="G1079" s="39" t="n">
        <v>2</v>
      </c>
      <c r="H1079" s="40" t="n">
        <v>3560</v>
      </c>
    </row>
    <row r="1080" s="33" customFormat="true" ht="14.25" hidden="false" customHeight="false" outlineLevel="0" collapsed="false">
      <c r="A1080" s="34" t="n">
        <f aca="false">A1079+1</f>
        <v>1075</v>
      </c>
      <c r="B1080" s="35" t="s">
        <v>345</v>
      </c>
      <c r="C1080" s="35" t="str">
        <f aca="false">"0040041"</f>
        <v>0040041</v>
      </c>
      <c r="D1080" s="37" t="s">
        <v>928</v>
      </c>
      <c r="E1080" s="35" t="n">
        <v>2009</v>
      </c>
      <c r="F1080" s="38" t="n">
        <v>5506</v>
      </c>
      <c r="G1080" s="39" t="n">
        <v>1</v>
      </c>
      <c r="H1080" s="40" t="n">
        <v>760</v>
      </c>
    </row>
    <row r="1081" s="33" customFormat="true" ht="14.25" hidden="false" customHeight="false" outlineLevel="0" collapsed="false">
      <c r="A1081" s="34" t="n">
        <f aca="false">A1080+1</f>
        <v>1076</v>
      </c>
      <c r="B1081" s="35" t="s">
        <v>345</v>
      </c>
      <c r="C1081" s="35" t="str">
        <f aca="false">"0040042"</f>
        <v>0040042</v>
      </c>
      <c r="D1081" s="37" t="s">
        <v>929</v>
      </c>
      <c r="E1081" s="35" t="n">
        <v>2009</v>
      </c>
      <c r="F1081" s="38" t="n">
        <v>4825</v>
      </c>
      <c r="G1081" s="39" t="n">
        <v>1</v>
      </c>
      <c r="H1081" s="40" t="n">
        <v>660</v>
      </c>
    </row>
    <row r="1082" s="33" customFormat="true" ht="14.25" hidden="false" customHeight="false" outlineLevel="0" collapsed="false">
      <c r="A1082" s="34" t="n">
        <f aca="false">A1081+1</f>
        <v>1077</v>
      </c>
      <c r="B1082" s="35" t="s">
        <v>345</v>
      </c>
      <c r="C1082" s="35" t="str">
        <f aca="false">"0040103"</f>
        <v>0040103</v>
      </c>
      <c r="D1082" s="37" t="s">
        <v>930</v>
      </c>
      <c r="E1082" s="35" t="n">
        <v>2009</v>
      </c>
      <c r="F1082" s="38" t="n">
        <v>19970</v>
      </c>
      <c r="G1082" s="39" t="n">
        <v>2</v>
      </c>
      <c r="H1082" s="40" t="n">
        <v>5500</v>
      </c>
    </row>
    <row r="1083" s="33" customFormat="true" ht="14.25" hidden="false" customHeight="false" outlineLevel="0" collapsed="false">
      <c r="A1083" s="34" t="n">
        <f aca="false">A1082+1</f>
        <v>1078</v>
      </c>
      <c r="B1083" s="35" t="s">
        <v>345</v>
      </c>
      <c r="C1083" s="35" t="str">
        <f aca="false">"0040105"</f>
        <v>0040105</v>
      </c>
      <c r="D1083" s="37" t="s">
        <v>931</v>
      </c>
      <c r="E1083" s="35" t="n">
        <v>2009</v>
      </c>
      <c r="F1083" s="38" t="n">
        <v>3502.4</v>
      </c>
      <c r="G1083" s="39" t="n">
        <v>2</v>
      </c>
      <c r="H1083" s="40" t="n">
        <v>960</v>
      </c>
    </row>
    <row r="1084" s="33" customFormat="true" ht="14.25" hidden="false" customHeight="false" outlineLevel="0" collapsed="false">
      <c r="A1084" s="34" t="n">
        <f aca="false">A1083+1</f>
        <v>1079</v>
      </c>
      <c r="B1084" s="35" t="s">
        <v>345</v>
      </c>
      <c r="C1084" s="35" t="str">
        <f aca="false">"0040107"</f>
        <v>0040107</v>
      </c>
      <c r="D1084" s="37" t="s">
        <v>932</v>
      </c>
      <c r="E1084" s="35" t="n">
        <v>2009</v>
      </c>
      <c r="F1084" s="38" t="n">
        <v>7646.5</v>
      </c>
      <c r="G1084" s="39" t="n">
        <v>1</v>
      </c>
      <c r="H1084" s="40" t="n">
        <v>1050</v>
      </c>
    </row>
    <row r="1085" s="33" customFormat="true" ht="14.25" hidden="false" customHeight="false" outlineLevel="0" collapsed="false">
      <c r="A1085" s="34" t="n">
        <f aca="false">A1084+1</f>
        <v>1080</v>
      </c>
      <c r="B1085" s="35" t="s">
        <v>345</v>
      </c>
      <c r="C1085" s="35" t="str">
        <f aca="false">"0040214"</f>
        <v>0040214</v>
      </c>
      <c r="D1085" s="37" t="s">
        <v>933</v>
      </c>
      <c r="E1085" s="35" t="n">
        <v>2009</v>
      </c>
      <c r="F1085" s="38" t="n">
        <v>29585.1</v>
      </c>
      <c r="G1085" s="39" t="n">
        <v>1</v>
      </c>
      <c r="H1085" s="40" t="n">
        <v>4070</v>
      </c>
    </row>
    <row r="1086" s="33" customFormat="true" ht="14.25" hidden="false" customHeight="false" outlineLevel="0" collapsed="false">
      <c r="A1086" s="34" t="n">
        <f aca="false">A1085+1</f>
        <v>1081</v>
      </c>
      <c r="B1086" s="35" t="s">
        <v>345</v>
      </c>
      <c r="C1086" s="35" t="str">
        <f aca="false">"0040215"</f>
        <v>0040215</v>
      </c>
      <c r="D1086" s="37" t="s">
        <v>934</v>
      </c>
      <c r="E1086" s="35" t="n">
        <v>2009</v>
      </c>
      <c r="F1086" s="38" t="n">
        <v>11561.1</v>
      </c>
      <c r="G1086" s="39" t="n">
        <v>1</v>
      </c>
      <c r="H1086" s="40" t="n">
        <v>1590</v>
      </c>
    </row>
    <row r="1087" s="33" customFormat="true" ht="14.25" hidden="false" customHeight="false" outlineLevel="0" collapsed="false">
      <c r="A1087" s="34" t="n">
        <f aca="false">A1086+1</f>
        <v>1082</v>
      </c>
      <c r="B1087" s="35" t="s">
        <v>345</v>
      </c>
      <c r="C1087" s="35" t="str">
        <f aca="false">"0040217"</f>
        <v>0040217</v>
      </c>
      <c r="D1087" s="37" t="s">
        <v>935</v>
      </c>
      <c r="E1087" s="35" t="n">
        <v>2009</v>
      </c>
      <c r="F1087" s="38" t="n">
        <v>8670.48</v>
      </c>
      <c r="G1087" s="39" t="n">
        <v>1</v>
      </c>
      <c r="H1087" s="40" t="n">
        <v>1200</v>
      </c>
    </row>
    <row r="1088" s="33" customFormat="true" ht="14.25" hidden="false" customHeight="false" outlineLevel="0" collapsed="false">
      <c r="A1088" s="34" t="n">
        <f aca="false">A1087+1</f>
        <v>1083</v>
      </c>
      <c r="B1088" s="35" t="s">
        <v>345</v>
      </c>
      <c r="C1088" s="35" t="str">
        <f aca="false">"0040280"</f>
        <v>0040280</v>
      </c>
      <c r="D1088" s="37" t="s">
        <v>731</v>
      </c>
      <c r="E1088" s="35" t="n">
        <v>2009</v>
      </c>
      <c r="F1088" s="38" t="n">
        <v>3914.45</v>
      </c>
      <c r="G1088" s="39" t="n">
        <v>1</v>
      </c>
      <c r="H1088" s="40" t="n">
        <v>540</v>
      </c>
    </row>
    <row r="1089" s="33" customFormat="true" ht="14.25" hidden="false" customHeight="false" outlineLevel="0" collapsed="false">
      <c r="A1089" s="34" t="n">
        <f aca="false">A1088+1</f>
        <v>1084</v>
      </c>
      <c r="B1089" s="35" t="s">
        <v>345</v>
      </c>
      <c r="C1089" s="35" t="str">
        <f aca="false">"0040332"</f>
        <v>0040332</v>
      </c>
      <c r="D1089" s="37" t="s">
        <v>936</v>
      </c>
      <c r="E1089" s="35" t="n">
        <v>2009</v>
      </c>
      <c r="F1089" s="38" t="n">
        <v>4006.2</v>
      </c>
      <c r="G1089" s="39" t="n">
        <v>2</v>
      </c>
      <c r="H1089" s="40" t="n">
        <v>1100</v>
      </c>
    </row>
    <row r="1090" s="33" customFormat="true" ht="14.25" hidden="false" customHeight="false" outlineLevel="0" collapsed="false">
      <c r="A1090" s="34" t="n">
        <f aca="false">A1089+1</f>
        <v>1085</v>
      </c>
      <c r="B1090" s="35" t="s">
        <v>345</v>
      </c>
      <c r="C1090" s="35" t="str">
        <f aca="false">"0040334"</f>
        <v>0040334</v>
      </c>
      <c r="D1090" s="37" t="s">
        <v>937</v>
      </c>
      <c r="E1090" s="35" t="n">
        <v>2009</v>
      </c>
      <c r="F1090" s="38" t="n">
        <v>5360</v>
      </c>
      <c r="G1090" s="39" t="n">
        <v>2</v>
      </c>
      <c r="H1090" s="40" t="n">
        <v>1480</v>
      </c>
    </row>
    <row r="1091" s="33" customFormat="true" ht="14.25" hidden="false" customHeight="false" outlineLevel="0" collapsed="false">
      <c r="A1091" s="34" t="n">
        <f aca="false">A1090+1</f>
        <v>1086</v>
      </c>
      <c r="B1091" s="35" t="s">
        <v>345</v>
      </c>
      <c r="C1091" s="35" t="str">
        <f aca="false">"0040336"</f>
        <v>0040336</v>
      </c>
      <c r="D1091" s="37" t="s">
        <v>931</v>
      </c>
      <c r="E1091" s="35" t="n">
        <v>2009</v>
      </c>
      <c r="F1091" s="38" t="n">
        <v>3932.3</v>
      </c>
      <c r="G1091" s="39" t="n">
        <v>1</v>
      </c>
      <c r="H1091" s="40" t="n">
        <v>540</v>
      </c>
    </row>
    <row r="1092" s="33" customFormat="true" ht="14.25" hidden="false" customHeight="false" outlineLevel="0" collapsed="false">
      <c r="A1092" s="34" t="n">
        <f aca="false">A1091+1</f>
        <v>1087</v>
      </c>
      <c r="B1092" s="35" t="s">
        <v>345</v>
      </c>
      <c r="C1092" s="35" t="str">
        <f aca="false">"0040670"</f>
        <v>0040670</v>
      </c>
      <c r="D1092" s="37" t="s">
        <v>861</v>
      </c>
      <c r="E1092" s="35" t="n">
        <v>2010</v>
      </c>
      <c r="F1092" s="38" t="n">
        <v>9947.25</v>
      </c>
      <c r="G1092" s="39" t="n">
        <v>2</v>
      </c>
      <c r="H1092" s="40" t="n">
        <v>3240</v>
      </c>
    </row>
    <row r="1093" s="33" customFormat="true" ht="14.25" hidden="false" customHeight="false" outlineLevel="0" collapsed="false">
      <c r="A1093" s="34" t="n">
        <f aca="false">A1092+1</f>
        <v>1088</v>
      </c>
      <c r="B1093" s="35" t="s">
        <v>345</v>
      </c>
      <c r="C1093" s="35" t="str">
        <f aca="false">"0040733"</f>
        <v>0040733</v>
      </c>
      <c r="D1093" s="37" t="s">
        <v>938</v>
      </c>
      <c r="E1093" s="35" t="n">
        <v>2010</v>
      </c>
      <c r="F1093" s="38" t="n">
        <v>3222.59</v>
      </c>
      <c r="G1093" s="39" t="n">
        <v>1</v>
      </c>
      <c r="H1093" s="40" t="n">
        <v>520</v>
      </c>
    </row>
    <row r="1094" s="33" customFormat="true" ht="14.25" hidden="false" customHeight="false" outlineLevel="0" collapsed="false">
      <c r="A1094" s="34" t="n">
        <f aca="false">A1093+1</f>
        <v>1089</v>
      </c>
      <c r="B1094" s="35" t="s">
        <v>345</v>
      </c>
      <c r="C1094" s="35" t="str">
        <f aca="false">"0040767"</f>
        <v>0040767</v>
      </c>
      <c r="D1094" s="37" t="s">
        <v>939</v>
      </c>
      <c r="E1094" s="35" t="n">
        <v>2010</v>
      </c>
      <c r="F1094" s="38" t="n">
        <v>14980.55</v>
      </c>
      <c r="G1094" s="39" t="n">
        <v>1</v>
      </c>
      <c r="H1094" s="40" t="n">
        <v>2430</v>
      </c>
    </row>
    <row r="1095" s="33" customFormat="true" ht="14.25" hidden="false" customHeight="false" outlineLevel="0" collapsed="false">
      <c r="A1095" s="34" t="n">
        <f aca="false">A1094+1</f>
        <v>1090</v>
      </c>
      <c r="B1095" s="35" t="s">
        <v>345</v>
      </c>
      <c r="C1095" s="35" t="str">
        <f aca="false">"0040768"</f>
        <v>0040768</v>
      </c>
      <c r="D1095" s="37" t="s">
        <v>940</v>
      </c>
      <c r="E1095" s="35" t="n">
        <v>2010</v>
      </c>
      <c r="F1095" s="38" t="n">
        <v>21588.82</v>
      </c>
      <c r="G1095" s="39" t="n">
        <v>1</v>
      </c>
      <c r="H1095" s="40" t="n">
        <v>3500</v>
      </c>
    </row>
    <row r="1096" s="33" customFormat="true" ht="14.25" hidden="false" customHeight="false" outlineLevel="0" collapsed="false">
      <c r="A1096" s="34" t="n">
        <f aca="false">A1095+1</f>
        <v>1091</v>
      </c>
      <c r="B1096" s="35" t="s">
        <v>345</v>
      </c>
      <c r="C1096" s="35" t="str">
        <f aca="false">"0040769"</f>
        <v>0040769</v>
      </c>
      <c r="D1096" s="37" t="s">
        <v>941</v>
      </c>
      <c r="E1096" s="35" t="n">
        <v>2010</v>
      </c>
      <c r="F1096" s="38" t="n">
        <v>12500</v>
      </c>
      <c r="G1096" s="39" t="n">
        <v>1</v>
      </c>
      <c r="H1096" s="40" t="n">
        <v>2100</v>
      </c>
    </row>
    <row r="1097" s="33" customFormat="true" ht="14.25" hidden="false" customHeight="false" outlineLevel="0" collapsed="false">
      <c r="A1097" s="34" t="n">
        <f aca="false">A1096+1</f>
        <v>1092</v>
      </c>
      <c r="B1097" s="35" t="s">
        <v>345</v>
      </c>
      <c r="C1097" s="35" t="str">
        <f aca="false">"0040802"</f>
        <v>0040802</v>
      </c>
      <c r="D1097" s="37" t="s">
        <v>942</v>
      </c>
      <c r="E1097" s="35" t="n">
        <v>2010</v>
      </c>
      <c r="F1097" s="38" t="n">
        <v>6200</v>
      </c>
      <c r="G1097" s="39" t="n">
        <v>1</v>
      </c>
      <c r="H1097" s="40" t="n">
        <v>1010</v>
      </c>
    </row>
    <row r="1098" s="33" customFormat="true" ht="14.25" hidden="false" customHeight="false" outlineLevel="0" collapsed="false">
      <c r="A1098" s="34" t="n">
        <f aca="false">A1097+1</f>
        <v>1093</v>
      </c>
      <c r="B1098" s="35" t="s">
        <v>345</v>
      </c>
      <c r="C1098" s="35" t="str">
        <f aca="false">"0040884"</f>
        <v>0040884</v>
      </c>
      <c r="D1098" s="37" t="s">
        <v>943</v>
      </c>
      <c r="E1098" s="35" t="n">
        <v>2010</v>
      </c>
      <c r="F1098" s="38" t="n">
        <v>1240.31</v>
      </c>
      <c r="G1098" s="39" t="n">
        <v>1</v>
      </c>
      <c r="H1098" s="40" t="n">
        <v>150</v>
      </c>
    </row>
    <row r="1099" s="33" customFormat="true" ht="14.25" hidden="false" customHeight="false" outlineLevel="0" collapsed="false">
      <c r="A1099" s="34" t="n">
        <f aca="false">A1098+1</f>
        <v>1094</v>
      </c>
      <c r="B1099" s="35" t="s">
        <v>345</v>
      </c>
      <c r="C1099" s="35" t="str">
        <f aca="false">"0040909"</f>
        <v>0040909</v>
      </c>
      <c r="D1099" s="37" t="s">
        <v>944</v>
      </c>
      <c r="E1099" s="35" t="n">
        <v>2010</v>
      </c>
      <c r="F1099" s="38" t="n">
        <v>7622</v>
      </c>
      <c r="G1099" s="39" t="n">
        <v>1</v>
      </c>
      <c r="H1099" s="40" t="n">
        <v>930</v>
      </c>
    </row>
    <row r="1100" s="33" customFormat="true" ht="14.25" hidden="false" customHeight="false" outlineLevel="0" collapsed="false">
      <c r="A1100" s="34" t="n">
        <f aca="false">A1099+1</f>
        <v>1095</v>
      </c>
      <c r="B1100" s="35" t="s">
        <v>345</v>
      </c>
      <c r="C1100" s="35" t="str">
        <f aca="false">"0040910"</f>
        <v>0040910</v>
      </c>
      <c r="D1100" s="37" t="s">
        <v>342</v>
      </c>
      <c r="E1100" s="35" t="n">
        <v>2010</v>
      </c>
      <c r="F1100" s="38" t="n">
        <v>6500</v>
      </c>
      <c r="G1100" s="39" t="n">
        <v>1</v>
      </c>
      <c r="H1100" s="40" t="n">
        <v>790</v>
      </c>
    </row>
    <row r="1101" s="33" customFormat="true" ht="14.25" hidden="false" customHeight="false" outlineLevel="0" collapsed="false">
      <c r="A1101" s="34" t="n">
        <f aca="false">A1100+1</f>
        <v>1096</v>
      </c>
      <c r="B1101" s="35" t="s">
        <v>345</v>
      </c>
      <c r="C1101" s="35" t="str">
        <f aca="false">"0040911"</f>
        <v>0040911</v>
      </c>
      <c r="D1101" s="37" t="s">
        <v>945</v>
      </c>
      <c r="E1101" s="35" t="n">
        <v>2010</v>
      </c>
      <c r="F1101" s="38" t="n">
        <v>8727.8</v>
      </c>
      <c r="G1101" s="39" t="n">
        <v>1</v>
      </c>
      <c r="H1101" s="40" t="n">
        <v>1420</v>
      </c>
    </row>
    <row r="1102" s="33" customFormat="true" ht="14.25" hidden="false" customHeight="false" outlineLevel="0" collapsed="false">
      <c r="A1102" s="34" t="n">
        <f aca="false">A1101+1</f>
        <v>1097</v>
      </c>
      <c r="B1102" s="35" t="s">
        <v>345</v>
      </c>
      <c r="C1102" s="35" t="str">
        <f aca="false">"0041056"</f>
        <v>0041056</v>
      </c>
      <c r="D1102" s="37" t="s">
        <v>946</v>
      </c>
      <c r="E1102" s="35" t="n">
        <v>2010</v>
      </c>
      <c r="F1102" s="38" t="n">
        <v>11140</v>
      </c>
      <c r="G1102" s="39" t="n">
        <v>1</v>
      </c>
      <c r="H1102" s="40" t="n">
        <v>1355</v>
      </c>
    </row>
    <row r="1103" s="33" customFormat="true" ht="14.25" hidden="false" customHeight="false" outlineLevel="0" collapsed="false">
      <c r="A1103" s="34" t="n">
        <f aca="false">A1102+1</f>
        <v>1098</v>
      </c>
      <c r="B1103" s="35" t="s">
        <v>345</v>
      </c>
      <c r="C1103" s="35" t="str">
        <f aca="false">"0041057"</f>
        <v>0041057</v>
      </c>
      <c r="D1103" s="37" t="s">
        <v>947</v>
      </c>
      <c r="E1103" s="35" t="n">
        <v>2010</v>
      </c>
      <c r="F1103" s="38" t="n">
        <v>8986</v>
      </c>
      <c r="G1103" s="39" t="n">
        <v>1</v>
      </c>
      <c r="H1103" s="40" t="n">
        <v>1100</v>
      </c>
    </row>
    <row r="1104" s="33" customFormat="true" ht="14.25" hidden="false" customHeight="false" outlineLevel="0" collapsed="false">
      <c r="A1104" s="34" t="n">
        <f aca="false">A1103+1</f>
        <v>1099</v>
      </c>
      <c r="B1104" s="35" t="s">
        <v>345</v>
      </c>
      <c r="C1104" s="35" t="str">
        <f aca="false">"0041090"</f>
        <v>0041090</v>
      </c>
      <c r="D1104" s="37" t="s">
        <v>948</v>
      </c>
      <c r="E1104" s="35" t="n">
        <v>2011</v>
      </c>
      <c r="F1104" s="38" t="n">
        <v>16000</v>
      </c>
      <c r="G1104" s="39" t="n">
        <v>2</v>
      </c>
      <c r="H1104" s="40" t="n">
        <v>6250</v>
      </c>
    </row>
    <row r="1105" s="33" customFormat="true" ht="14.25" hidden="false" customHeight="false" outlineLevel="0" collapsed="false">
      <c r="A1105" s="34" t="n">
        <f aca="false">A1104+1</f>
        <v>1100</v>
      </c>
      <c r="B1105" s="35" t="s">
        <v>345</v>
      </c>
      <c r="C1105" s="35" t="str">
        <f aca="false">"0041161"</f>
        <v>0041161</v>
      </c>
      <c r="D1105" s="37" t="s">
        <v>831</v>
      </c>
      <c r="E1105" s="35" t="n">
        <v>2011</v>
      </c>
      <c r="F1105" s="38" t="n">
        <v>14128.02</v>
      </c>
      <c r="G1105" s="39" t="n">
        <v>1</v>
      </c>
      <c r="H1105" s="40" t="n">
        <v>2760</v>
      </c>
    </row>
    <row r="1106" s="33" customFormat="true" ht="14.25" hidden="false" customHeight="false" outlineLevel="0" collapsed="false">
      <c r="A1106" s="46" t="n">
        <f aca="false">A1105+1</f>
        <v>1101</v>
      </c>
      <c r="B1106" s="35" t="s">
        <v>345</v>
      </c>
      <c r="C1106" s="35" t="str">
        <f aca="false">"0041267"</f>
        <v>0041267</v>
      </c>
      <c r="D1106" s="37" t="s">
        <v>949</v>
      </c>
      <c r="E1106" s="35" t="n">
        <v>2011</v>
      </c>
      <c r="F1106" s="38" t="n">
        <v>252458.6</v>
      </c>
      <c r="G1106" s="39" t="n">
        <v>1</v>
      </c>
      <c r="H1106" s="40" t="n">
        <v>49280</v>
      </c>
    </row>
    <row r="1107" s="33" customFormat="true" ht="14.25" hidden="false" customHeight="false" outlineLevel="0" collapsed="false">
      <c r="A1107" s="34" t="n">
        <f aca="false">A1106+1</f>
        <v>1102</v>
      </c>
      <c r="B1107" s="35" t="s">
        <v>345</v>
      </c>
      <c r="C1107" s="35" t="str">
        <f aca="false">"0041273"</f>
        <v>0041273</v>
      </c>
      <c r="D1107" s="37" t="s">
        <v>950</v>
      </c>
      <c r="E1107" s="35" t="n">
        <v>2011</v>
      </c>
      <c r="F1107" s="38" t="n">
        <v>38463</v>
      </c>
      <c r="G1107" s="39" t="n">
        <v>1</v>
      </c>
      <c r="H1107" s="40" t="n">
        <v>7510</v>
      </c>
    </row>
    <row r="1108" s="33" customFormat="true" ht="14.25" hidden="false" customHeight="false" outlineLevel="0" collapsed="false">
      <c r="A1108" s="34" t="n">
        <f aca="false">A1107+1</f>
        <v>1103</v>
      </c>
      <c r="B1108" s="35" t="s">
        <v>345</v>
      </c>
      <c r="C1108" s="35" t="str">
        <f aca="false">"0041286"</f>
        <v>0041286</v>
      </c>
      <c r="D1108" s="37" t="s">
        <v>951</v>
      </c>
      <c r="E1108" s="35" t="n">
        <v>2011</v>
      </c>
      <c r="F1108" s="38" t="n">
        <v>6543</v>
      </c>
      <c r="G1108" s="39" t="n">
        <v>1</v>
      </c>
      <c r="H1108" s="40" t="n">
        <v>1275</v>
      </c>
    </row>
    <row r="1109" s="33" customFormat="true" ht="14.25" hidden="false" customHeight="false" outlineLevel="0" collapsed="false">
      <c r="A1109" s="34" t="n">
        <f aca="false">A1108+1</f>
        <v>1104</v>
      </c>
      <c r="B1109" s="35" t="s">
        <v>345</v>
      </c>
      <c r="C1109" s="35" t="str">
        <f aca="false">"0041287"</f>
        <v>0041287</v>
      </c>
      <c r="D1109" s="37" t="s">
        <v>952</v>
      </c>
      <c r="E1109" s="35" t="n">
        <v>2011</v>
      </c>
      <c r="F1109" s="38" t="n">
        <v>23932</v>
      </c>
      <c r="G1109" s="39" t="n">
        <v>1</v>
      </c>
      <c r="H1109" s="40" t="n">
        <v>4670</v>
      </c>
    </row>
    <row r="1110" s="33" customFormat="true" ht="14.25" hidden="false" customHeight="false" outlineLevel="0" collapsed="false">
      <c r="A1110" s="34" t="n">
        <f aca="false">A1109+1</f>
        <v>1105</v>
      </c>
      <c r="B1110" s="35" t="s">
        <v>345</v>
      </c>
      <c r="C1110" s="35" t="str">
        <f aca="false">"0041288"</f>
        <v>0041288</v>
      </c>
      <c r="D1110" s="37" t="s">
        <v>953</v>
      </c>
      <c r="E1110" s="35" t="n">
        <v>2011</v>
      </c>
      <c r="F1110" s="38" t="n">
        <v>6370</v>
      </c>
      <c r="G1110" s="39" t="n">
        <v>1</v>
      </c>
      <c r="H1110" s="40" t="n">
        <v>1245</v>
      </c>
    </row>
    <row r="1111" s="33" customFormat="true" ht="14.25" hidden="false" customHeight="false" outlineLevel="0" collapsed="false">
      <c r="A1111" s="34" t="n">
        <f aca="false">A1110+1</f>
        <v>1106</v>
      </c>
      <c r="B1111" s="35" t="s">
        <v>345</v>
      </c>
      <c r="C1111" s="35" t="str">
        <f aca="false">"0041289"</f>
        <v>0041289</v>
      </c>
      <c r="D1111" s="37" t="s">
        <v>954</v>
      </c>
      <c r="E1111" s="35" t="n">
        <v>2011</v>
      </c>
      <c r="F1111" s="38" t="n">
        <v>120136</v>
      </c>
      <c r="G1111" s="39" t="n">
        <v>1</v>
      </c>
      <c r="H1111" s="40" t="n">
        <v>23450</v>
      </c>
    </row>
    <row r="1112" s="33" customFormat="true" ht="14.25" hidden="false" customHeight="false" outlineLevel="0" collapsed="false">
      <c r="A1112" s="34" t="n">
        <f aca="false">A1111+1</f>
        <v>1107</v>
      </c>
      <c r="B1112" s="35" t="s">
        <v>345</v>
      </c>
      <c r="C1112" s="35" t="str">
        <f aca="false">"0041325"</f>
        <v>0041325</v>
      </c>
      <c r="D1112" s="37" t="s">
        <v>861</v>
      </c>
      <c r="E1112" s="35" t="n">
        <v>2011</v>
      </c>
      <c r="F1112" s="38" t="n">
        <v>10135.86</v>
      </c>
      <c r="G1112" s="39" t="n">
        <v>2</v>
      </c>
      <c r="H1112" s="40" t="n">
        <v>3960</v>
      </c>
    </row>
    <row r="1113" s="33" customFormat="true" ht="14.25" hidden="false" customHeight="false" outlineLevel="0" collapsed="false">
      <c r="A1113" s="34" t="n">
        <f aca="false">A1112+1</f>
        <v>1108</v>
      </c>
      <c r="B1113" s="35" t="s">
        <v>345</v>
      </c>
      <c r="C1113" s="35" t="str">
        <f aca="false">"0041446"</f>
        <v>0041446</v>
      </c>
      <c r="D1113" s="37" t="s">
        <v>955</v>
      </c>
      <c r="E1113" s="35" t="n">
        <v>2011</v>
      </c>
      <c r="F1113" s="38" t="n">
        <v>11500</v>
      </c>
      <c r="G1113" s="39" t="n">
        <v>1</v>
      </c>
      <c r="H1113" s="40" t="n">
        <v>2250</v>
      </c>
    </row>
    <row r="1114" s="33" customFormat="true" ht="14.25" hidden="false" customHeight="false" outlineLevel="0" collapsed="false">
      <c r="A1114" s="34" t="n">
        <f aca="false">A1113+1</f>
        <v>1109</v>
      </c>
      <c r="B1114" s="35" t="s">
        <v>345</v>
      </c>
      <c r="C1114" s="35" t="str">
        <f aca="false">"0041447"</f>
        <v>0041447</v>
      </c>
      <c r="D1114" s="37" t="s">
        <v>956</v>
      </c>
      <c r="E1114" s="35" t="n">
        <v>2011</v>
      </c>
      <c r="F1114" s="38" t="n">
        <v>5398</v>
      </c>
      <c r="G1114" s="39" t="n">
        <v>1</v>
      </c>
      <c r="H1114" s="40" t="n">
        <v>1050</v>
      </c>
    </row>
    <row r="1115" s="33" customFormat="true" ht="14.25" hidden="false" customHeight="false" outlineLevel="0" collapsed="false">
      <c r="A1115" s="34" t="n">
        <f aca="false">A1114+1</f>
        <v>1110</v>
      </c>
      <c r="B1115" s="35" t="s">
        <v>345</v>
      </c>
      <c r="C1115" s="35" t="str">
        <f aca="false">"0041460"</f>
        <v>0041460</v>
      </c>
      <c r="D1115" s="37" t="s">
        <v>957</v>
      </c>
      <c r="E1115" s="35" t="n">
        <v>2011</v>
      </c>
      <c r="F1115" s="38" t="n">
        <v>30730</v>
      </c>
      <c r="G1115" s="39" t="n">
        <v>1</v>
      </c>
      <c r="H1115" s="40" t="n">
        <v>6000</v>
      </c>
    </row>
    <row r="1116" s="33" customFormat="true" ht="14.25" hidden="false" customHeight="false" outlineLevel="0" collapsed="false">
      <c r="A1116" s="34" t="n">
        <f aca="false">A1115+1</f>
        <v>1111</v>
      </c>
      <c r="B1116" s="35" t="s">
        <v>345</v>
      </c>
      <c r="C1116" s="35" t="str">
        <f aca="false">"0041621"</f>
        <v>0041621</v>
      </c>
      <c r="D1116" s="37" t="s">
        <v>958</v>
      </c>
      <c r="E1116" s="35" t="n">
        <v>2011</v>
      </c>
      <c r="F1116" s="38" t="n">
        <v>6150</v>
      </c>
      <c r="G1116" s="39" t="n">
        <v>1</v>
      </c>
      <c r="H1116" s="40" t="n">
        <v>1200</v>
      </c>
    </row>
    <row r="1117" s="33" customFormat="true" ht="14.25" hidden="false" customHeight="false" outlineLevel="0" collapsed="false">
      <c r="A1117" s="34" t="n">
        <f aca="false">A1116+1</f>
        <v>1112</v>
      </c>
      <c r="B1117" s="35" t="s">
        <v>345</v>
      </c>
      <c r="C1117" s="35" t="str">
        <f aca="false">"0041622"</f>
        <v>0041622</v>
      </c>
      <c r="D1117" s="37" t="s">
        <v>731</v>
      </c>
      <c r="E1117" s="35" t="n">
        <v>2011</v>
      </c>
      <c r="F1117" s="38" t="n">
        <v>6204.5</v>
      </c>
      <c r="G1117" s="39" t="n">
        <v>1</v>
      </c>
      <c r="H1117" s="40" t="n">
        <v>1200</v>
      </c>
    </row>
    <row r="1118" s="33" customFormat="true" ht="14.25" hidden="false" customHeight="false" outlineLevel="0" collapsed="false">
      <c r="A1118" s="34" t="n">
        <f aca="false">A1117+1</f>
        <v>1113</v>
      </c>
      <c r="B1118" s="35" t="s">
        <v>345</v>
      </c>
      <c r="C1118" s="35" t="str">
        <f aca="false">"0041787"</f>
        <v>0041787</v>
      </c>
      <c r="D1118" s="37" t="s">
        <v>942</v>
      </c>
      <c r="E1118" s="35" t="n">
        <v>2012</v>
      </c>
      <c r="F1118" s="38" t="n">
        <v>3600</v>
      </c>
      <c r="G1118" s="39" t="n">
        <v>1</v>
      </c>
      <c r="H1118" s="40" t="n">
        <v>850</v>
      </c>
    </row>
    <row r="1119" s="33" customFormat="true" ht="14.25" hidden="false" customHeight="false" outlineLevel="0" collapsed="false">
      <c r="A1119" s="34" t="n">
        <f aca="false">A1118+1</f>
        <v>1114</v>
      </c>
      <c r="B1119" s="35" t="s">
        <v>345</v>
      </c>
      <c r="C1119" s="35" t="str">
        <f aca="false">"0041828"</f>
        <v>0041828</v>
      </c>
      <c r="D1119" s="37" t="s">
        <v>959</v>
      </c>
      <c r="E1119" s="35" t="n">
        <v>2012</v>
      </c>
      <c r="F1119" s="38" t="n">
        <v>7984</v>
      </c>
      <c r="G1119" s="39" t="n">
        <v>1</v>
      </c>
      <c r="H1119" s="40" t="n">
        <v>1885</v>
      </c>
    </row>
    <row r="1120" s="33" customFormat="true" ht="14.25" hidden="false" customHeight="false" outlineLevel="0" collapsed="false">
      <c r="A1120" s="34" t="n">
        <f aca="false">A1119+1</f>
        <v>1115</v>
      </c>
      <c r="B1120" s="35" t="s">
        <v>345</v>
      </c>
      <c r="C1120" s="35" t="str">
        <f aca="false">"0041829"</f>
        <v>0041829</v>
      </c>
      <c r="D1120" s="37" t="s">
        <v>960</v>
      </c>
      <c r="E1120" s="35" t="n">
        <v>2012</v>
      </c>
      <c r="F1120" s="38" t="n">
        <v>8097.7</v>
      </c>
      <c r="G1120" s="39" t="n">
        <v>1</v>
      </c>
      <c r="H1120" s="40" t="n">
        <v>1910</v>
      </c>
    </row>
    <row r="1121" s="33" customFormat="true" ht="14.25" hidden="false" customHeight="false" outlineLevel="0" collapsed="false">
      <c r="A1121" s="34" t="n">
        <f aca="false">A1120+1</f>
        <v>1116</v>
      </c>
      <c r="B1121" s="35" t="s">
        <v>345</v>
      </c>
      <c r="C1121" s="35" t="str">
        <f aca="false">"0041830"</f>
        <v>0041830</v>
      </c>
      <c r="D1121" s="37" t="s">
        <v>961</v>
      </c>
      <c r="E1121" s="35" t="n">
        <v>2012</v>
      </c>
      <c r="F1121" s="38" t="n">
        <v>31500</v>
      </c>
      <c r="G1121" s="39" t="n">
        <v>2</v>
      </c>
      <c r="H1121" s="40" t="n">
        <v>14880</v>
      </c>
    </row>
    <row r="1122" s="33" customFormat="true" ht="14.25" hidden="false" customHeight="false" outlineLevel="0" collapsed="false">
      <c r="A1122" s="34" t="n">
        <f aca="false">A1121+1</f>
        <v>1117</v>
      </c>
      <c r="B1122" s="35" t="s">
        <v>345</v>
      </c>
      <c r="C1122" s="35" t="str">
        <f aca="false">"0041913"</f>
        <v>0041913</v>
      </c>
      <c r="D1122" s="37" t="s">
        <v>842</v>
      </c>
      <c r="E1122" s="35" t="n">
        <v>2012</v>
      </c>
      <c r="F1122" s="38" t="n">
        <v>13824</v>
      </c>
      <c r="G1122" s="39" t="n">
        <v>1</v>
      </c>
      <c r="H1122" s="40" t="n">
        <v>3260</v>
      </c>
    </row>
    <row r="1123" s="33" customFormat="true" ht="14.25" hidden="false" customHeight="false" outlineLevel="0" collapsed="false">
      <c r="A1123" s="34" t="n">
        <f aca="false">A1122+1</f>
        <v>1118</v>
      </c>
      <c r="B1123" s="35" t="s">
        <v>345</v>
      </c>
      <c r="C1123" s="35" t="str">
        <f aca="false">"0041915"</f>
        <v>0041915</v>
      </c>
      <c r="D1123" s="37" t="s">
        <v>342</v>
      </c>
      <c r="E1123" s="35" t="n">
        <v>2012</v>
      </c>
      <c r="F1123" s="38" t="n">
        <v>5500</v>
      </c>
      <c r="G1123" s="39" t="n">
        <v>1</v>
      </c>
      <c r="H1123" s="40" t="n">
        <v>1300</v>
      </c>
    </row>
    <row r="1124" s="33" customFormat="true" ht="14.25" hidden="false" customHeight="false" outlineLevel="0" collapsed="false">
      <c r="A1124" s="34" t="n">
        <f aca="false">A1123+1</f>
        <v>1119</v>
      </c>
      <c r="B1124" s="35" t="s">
        <v>345</v>
      </c>
      <c r="C1124" s="35" t="str">
        <f aca="false">"0041977"</f>
        <v>0041977</v>
      </c>
      <c r="D1124" s="37" t="s">
        <v>844</v>
      </c>
      <c r="E1124" s="35" t="n">
        <v>2012</v>
      </c>
      <c r="F1124" s="38" t="n">
        <v>7820.9</v>
      </c>
      <c r="G1124" s="39" t="n">
        <v>1</v>
      </c>
      <c r="H1124" s="40" t="n">
        <v>1850</v>
      </c>
    </row>
    <row r="1125" s="33" customFormat="true" ht="14.25" hidden="false" customHeight="false" outlineLevel="0" collapsed="false">
      <c r="A1125" s="34" t="n">
        <f aca="false">A1124+1</f>
        <v>1120</v>
      </c>
      <c r="B1125" s="35" t="s">
        <v>345</v>
      </c>
      <c r="C1125" s="35" t="str">
        <f aca="false">"0041978"</f>
        <v>0041978</v>
      </c>
      <c r="D1125" s="37" t="s">
        <v>942</v>
      </c>
      <c r="E1125" s="35" t="n">
        <v>2012</v>
      </c>
      <c r="F1125" s="38" t="n">
        <v>2545.56</v>
      </c>
      <c r="G1125" s="39" t="n">
        <v>1</v>
      </c>
      <c r="H1125" s="40" t="n">
        <v>600</v>
      </c>
    </row>
    <row r="1126" s="33" customFormat="true" ht="14.25" hidden="false" customHeight="false" outlineLevel="0" collapsed="false">
      <c r="A1126" s="34" t="n">
        <f aca="false">A1125+1</f>
        <v>1121</v>
      </c>
      <c r="B1126" s="35" t="s">
        <v>345</v>
      </c>
      <c r="C1126" s="35" t="str">
        <f aca="false">"0042061"</f>
        <v>0042061</v>
      </c>
      <c r="D1126" s="37" t="s">
        <v>932</v>
      </c>
      <c r="E1126" s="35" t="n">
        <v>2012</v>
      </c>
      <c r="F1126" s="38" t="n">
        <v>4875</v>
      </c>
      <c r="G1126" s="39" t="n">
        <v>1</v>
      </c>
      <c r="H1126" s="40" t="n">
        <v>1150</v>
      </c>
    </row>
    <row r="1127" s="33" customFormat="true" ht="14.25" hidden="false" customHeight="false" outlineLevel="0" collapsed="false">
      <c r="A1127" s="34" t="n">
        <f aca="false">A1126+1</f>
        <v>1122</v>
      </c>
      <c r="B1127" s="35" t="s">
        <v>345</v>
      </c>
      <c r="C1127" s="35" t="str">
        <f aca="false">"0042062"</f>
        <v>0042062</v>
      </c>
      <c r="D1127" s="37" t="s">
        <v>962</v>
      </c>
      <c r="E1127" s="35" t="n">
        <v>2012</v>
      </c>
      <c r="F1127" s="38" t="n">
        <v>12868</v>
      </c>
      <c r="G1127" s="39" t="n">
        <v>1</v>
      </c>
      <c r="H1127" s="40" t="n">
        <v>2300</v>
      </c>
    </row>
    <row r="1128" s="33" customFormat="true" ht="14.25" hidden="false" customHeight="false" outlineLevel="0" collapsed="false">
      <c r="A1128" s="34" t="n">
        <f aca="false">A1127+1</f>
        <v>1123</v>
      </c>
      <c r="B1128" s="35" t="s">
        <v>345</v>
      </c>
      <c r="C1128" s="35" t="str">
        <f aca="false">"0042063"</f>
        <v>0042063</v>
      </c>
      <c r="D1128" s="37" t="s">
        <v>963</v>
      </c>
      <c r="E1128" s="35" t="n">
        <v>2012</v>
      </c>
      <c r="F1128" s="38" t="n">
        <v>12400</v>
      </c>
      <c r="G1128" s="39" t="n">
        <v>1</v>
      </c>
      <c r="H1128" s="40" t="n">
        <v>2215</v>
      </c>
    </row>
    <row r="1129" s="33" customFormat="true" ht="14.25" hidden="false" customHeight="false" outlineLevel="0" collapsed="false">
      <c r="A1129" s="34" t="n">
        <f aca="false">A1128+1</f>
        <v>1124</v>
      </c>
      <c r="B1129" s="35" t="s">
        <v>345</v>
      </c>
      <c r="C1129" s="35" t="str">
        <f aca="false">"0042064"</f>
        <v>0042064</v>
      </c>
      <c r="D1129" s="37" t="s">
        <v>964</v>
      </c>
      <c r="E1129" s="35" t="n">
        <v>2012</v>
      </c>
      <c r="F1129" s="38" t="n">
        <v>2520.42</v>
      </c>
      <c r="G1129" s="39" t="n">
        <v>1</v>
      </c>
      <c r="H1129" s="40" t="n">
        <v>595</v>
      </c>
    </row>
    <row r="1130" s="33" customFormat="true" ht="14.25" hidden="false" customHeight="false" outlineLevel="0" collapsed="false">
      <c r="A1130" s="42" t="n">
        <f aca="false">A1129+1</f>
        <v>1125</v>
      </c>
      <c r="B1130" s="35" t="s">
        <v>345</v>
      </c>
      <c r="C1130" s="35" t="str">
        <f aca="false">"0042136"</f>
        <v>0042136</v>
      </c>
      <c r="D1130" s="37" t="s">
        <v>965</v>
      </c>
      <c r="E1130" s="35" t="n">
        <v>2012</v>
      </c>
      <c r="F1130" s="38" t="n">
        <v>7220.16</v>
      </c>
      <c r="G1130" s="39" t="n">
        <v>1</v>
      </c>
      <c r="H1130" s="40" t="n">
        <v>1710</v>
      </c>
    </row>
    <row r="1131" s="33" customFormat="true" ht="14.25" hidden="false" customHeight="false" outlineLevel="0" collapsed="false">
      <c r="A1131" s="34" t="n">
        <f aca="false">A1130+1</f>
        <v>1126</v>
      </c>
      <c r="B1131" s="35" t="s">
        <v>345</v>
      </c>
      <c r="C1131" s="35" t="str">
        <f aca="false">"0042179"</f>
        <v>0042179</v>
      </c>
      <c r="D1131" s="37" t="s">
        <v>814</v>
      </c>
      <c r="E1131" s="35" t="n">
        <v>2012</v>
      </c>
      <c r="F1131" s="38" t="n">
        <v>17991</v>
      </c>
      <c r="G1131" s="39" t="n">
        <v>1</v>
      </c>
      <c r="H1131" s="40" t="n">
        <v>4250</v>
      </c>
    </row>
    <row r="1132" s="33" customFormat="true" ht="14.25" hidden="false" customHeight="false" outlineLevel="0" collapsed="false">
      <c r="A1132" s="34" t="n">
        <f aca="false">A1131+1</f>
        <v>1127</v>
      </c>
      <c r="B1132" s="35" t="s">
        <v>345</v>
      </c>
      <c r="C1132" s="35" t="str">
        <f aca="false">"0042202"</f>
        <v>0042202</v>
      </c>
      <c r="D1132" s="37" t="s">
        <v>966</v>
      </c>
      <c r="E1132" s="35" t="n">
        <v>2012</v>
      </c>
      <c r="F1132" s="38" t="n">
        <v>14073.71</v>
      </c>
      <c r="G1132" s="39" t="n">
        <v>1</v>
      </c>
      <c r="H1132" s="40" t="n">
        <v>3320</v>
      </c>
    </row>
    <row r="1133" s="33" customFormat="true" ht="14.25" hidden="false" customHeight="false" outlineLevel="0" collapsed="false">
      <c r="A1133" s="34" t="n">
        <f aca="false">A1132+1</f>
        <v>1128</v>
      </c>
      <c r="B1133" s="35" t="s">
        <v>345</v>
      </c>
      <c r="C1133" s="35" t="str">
        <f aca="false">"0042204"</f>
        <v>0042204</v>
      </c>
      <c r="D1133" s="37" t="s">
        <v>932</v>
      </c>
      <c r="E1133" s="35" t="n">
        <v>2012</v>
      </c>
      <c r="F1133" s="38" t="n">
        <v>12638.5</v>
      </c>
      <c r="G1133" s="39" t="n">
        <v>1</v>
      </c>
      <c r="H1133" s="40" t="n">
        <v>2985</v>
      </c>
    </row>
    <row r="1134" s="33" customFormat="true" ht="14.25" hidden="false" customHeight="false" outlineLevel="0" collapsed="false">
      <c r="A1134" s="34" t="n">
        <f aca="false">A1133+1</f>
        <v>1129</v>
      </c>
      <c r="B1134" s="35" t="s">
        <v>345</v>
      </c>
      <c r="C1134" s="35" t="str">
        <f aca="false">"0042468"</f>
        <v>0042468</v>
      </c>
      <c r="D1134" s="37" t="s">
        <v>731</v>
      </c>
      <c r="E1134" s="35" t="n">
        <v>2012</v>
      </c>
      <c r="F1134" s="38" t="n">
        <v>5821.6</v>
      </c>
      <c r="G1134" s="39" t="n">
        <v>1</v>
      </c>
      <c r="H1134" s="40" t="n">
        <v>1375</v>
      </c>
    </row>
    <row r="1135" s="33" customFormat="true" ht="14.25" hidden="false" customHeight="false" outlineLevel="0" collapsed="false">
      <c r="A1135" s="34" t="n">
        <f aca="false">A1134+1</f>
        <v>1130</v>
      </c>
      <c r="B1135" s="35" t="s">
        <v>345</v>
      </c>
      <c r="C1135" s="35" t="str">
        <f aca="false">"0042700"</f>
        <v>0042700</v>
      </c>
      <c r="D1135" s="37" t="s">
        <v>967</v>
      </c>
      <c r="E1135" s="35" t="n">
        <v>2013</v>
      </c>
      <c r="F1135" s="38" t="n">
        <v>82861.8</v>
      </c>
      <c r="G1135" s="39" t="n">
        <v>1</v>
      </c>
      <c r="H1135" s="40" t="n">
        <v>18560</v>
      </c>
    </row>
    <row r="1136" s="33" customFormat="true" ht="14.25" hidden="false" customHeight="false" outlineLevel="0" collapsed="false">
      <c r="A1136" s="34" t="n">
        <f aca="false">A1135+1</f>
        <v>1131</v>
      </c>
      <c r="B1136" s="35" t="s">
        <v>345</v>
      </c>
      <c r="C1136" s="35" t="str">
        <f aca="false">"0042708"</f>
        <v>0042708</v>
      </c>
      <c r="D1136" s="37" t="s">
        <v>968</v>
      </c>
      <c r="E1136" s="35" t="n">
        <v>2013</v>
      </c>
      <c r="F1136" s="38" t="n">
        <v>31836.52</v>
      </c>
      <c r="G1136" s="39" t="n">
        <v>1</v>
      </c>
      <c r="H1136" s="40" t="n">
        <v>7130</v>
      </c>
    </row>
    <row r="1137" s="33" customFormat="true" ht="14.25" hidden="false" customHeight="false" outlineLevel="0" collapsed="false">
      <c r="A1137" s="34" t="n">
        <f aca="false">A1136+1</f>
        <v>1132</v>
      </c>
      <c r="B1137" s="35" t="s">
        <v>345</v>
      </c>
      <c r="C1137" s="35" t="str">
        <f aca="false">"0042709"</f>
        <v>0042709</v>
      </c>
      <c r="D1137" s="37" t="s">
        <v>969</v>
      </c>
      <c r="E1137" s="35" t="n">
        <v>2014</v>
      </c>
      <c r="F1137" s="38" t="n">
        <v>11957.38</v>
      </c>
      <c r="G1137" s="39" t="n">
        <v>1</v>
      </c>
      <c r="H1137" s="40" t="n">
        <v>3375</v>
      </c>
    </row>
    <row r="1138" s="33" customFormat="true" ht="14.25" hidden="false" customHeight="false" outlineLevel="0" collapsed="false">
      <c r="A1138" s="34" t="n">
        <f aca="false">A1137+1</f>
        <v>1133</v>
      </c>
      <c r="B1138" s="35" t="s">
        <v>345</v>
      </c>
      <c r="C1138" s="35" t="str">
        <f aca="false">"0042710"</f>
        <v>0042710</v>
      </c>
      <c r="D1138" s="37" t="s">
        <v>970</v>
      </c>
      <c r="E1138" s="35" t="n">
        <v>2014</v>
      </c>
      <c r="F1138" s="38" t="n">
        <v>27053.57</v>
      </c>
      <c r="G1138" s="39" t="n">
        <v>1</v>
      </c>
      <c r="H1138" s="40" t="n">
        <v>7640</v>
      </c>
    </row>
    <row r="1139" s="33" customFormat="true" ht="14.25" hidden="false" customHeight="false" outlineLevel="0" collapsed="false">
      <c r="A1139" s="34" t="n">
        <f aca="false">A1138+1</f>
        <v>1134</v>
      </c>
      <c r="B1139" s="35" t="s">
        <v>345</v>
      </c>
      <c r="C1139" s="35" t="str">
        <f aca="false">"0042711"</f>
        <v>0042711</v>
      </c>
      <c r="D1139" s="37" t="s">
        <v>971</v>
      </c>
      <c r="E1139" s="35" t="n">
        <v>2014</v>
      </c>
      <c r="F1139" s="38" t="n">
        <v>18578.77</v>
      </c>
      <c r="G1139" s="39" t="n">
        <v>1</v>
      </c>
      <c r="H1139" s="40" t="n">
        <v>5250</v>
      </c>
    </row>
    <row r="1140" s="33" customFormat="true" ht="14.25" hidden="false" customHeight="false" outlineLevel="0" collapsed="false">
      <c r="A1140" s="34" t="n">
        <f aca="false">A1139+1</f>
        <v>1135</v>
      </c>
      <c r="B1140" s="35" t="s">
        <v>345</v>
      </c>
      <c r="C1140" s="35" t="str">
        <f aca="false">"0042770"</f>
        <v>0042770</v>
      </c>
      <c r="D1140" s="37" t="s">
        <v>972</v>
      </c>
      <c r="E1140" s="35" t="n">
        <v>2014</v>
      </c>
      <c r="F1140" s="38" t="n">
        <v>5061.6</v>
      </c>
      <c r="G1140" s="39" t="n">
        <v>1</v>
      </c>
      <c r="H1140" s="40" t="n">
        <v>1735</v>
      </c>
    </row>
    <row r="1141" s="33" customFormat="true" ht="14.25" hidden="false" customHeight="false" outlineLevel="0" collapsed="false">
      <c r="A1141" s="34" t="n">
        <f aca="false">A1140+1</f>
        <v>1136</v>
      </c>
      <c r="B1141" s="35" t="s">
        <v>345</v>
      </c>
      <c r="C1141" s="35" t="str">
        <f aca="false">"0042804"</f>
        <v>0042804</v>
      </c>
      <c r="D1141" s="37" t="s">
        <v>973</v>
      </c>
      <c r="E1141" s="35" t="n">
        <v>2014</v>
      </c>
      <c r="F1141" s="38" t="n">
        <v>7000</v>
      </c>
      <c r="G1141" s="39" t="n">
        <v>1</v>
      </c>
      <c r="H1141" s="40" t="n">
        <v>2400</v>
      </c>
    </row>
    <row r="1142" s="33" customFormat="true" ht="14.25" hidden="false" customHeight="false" outlineLevel="0" collapsed="false">
      <c r="A1142" s="34" t="n">
        <f aca="false">A1141+1</f>
        <v>1137</v>
      </c>
      <c r="B1142" s="35" t="s">
        <v>345</v>
      </c>
      <c r="C1142" s="35" t="str">
        <f aca="false">"0043754"</f>
        <v>0043754</v>
      </c>
      <c r="D1142" s="37" t="s">
        <v>974</v>
      </c>
      <c r="E1142" s="35" t="n">
        <v>2014</v>
      </c>
      <c r="F1142" s="38" t="n">
        <v>3835.3</v>
      </c>
      <c r="G1142" s="39" t="n">
        <v>1</v>
      </c>
      <c r="H1142" s="40" t="n">
        <v>1315</v>
      </c>
    </row>
    <row r="1143" s="33" customFormat="true" ht="14.25" hidden="false" customHeight="false" outlineLevel="0" collapsed="false">
      <c r="A1143" s="34" t="n">
        <f aca="false">A1142+1</f>
        <v>1138</v>
      </c>
      <c r="B1143" s="35" t="s">
        <v>345</v>
      </c>
      <c r="C1143" s="35" t="str">
        <f aca="false">"0043842"</f>
        <v>0043842</v>
      </c>
      <c r="D1143" s="37" t="s">
        <v>975</v>
      </c>
      <c r="E1143" s="35" t="n">
        <v>2014</v>
      </c>
      <c r="F1143" s="38" t="n">
        <v>5300</v>
      </c>
      <c r="G1143" s="39" t="n">
        <v>1</v>
      </c>
      <c r="H1143" s="40" t="n">
        <v>1815</v>
      </c>
    </row>
    <row r="1144" s="33" customFormat="true" ht="14.25" hidden="false" customHeight="false" outlineLevel="0" collapsed="false">
      <c r="A1144" s="34" t="n">
        <f aca="false">A1143+1</f>
        <v>1139</v>
      </c>
      <c r="B1144" s="35" t="s">
        <v>345</v>
      </c>
      <c r="C1144" s="35" t="str">
        <f aca="false">"0043843"</f>
        <v>0043843</v>
      </c>
      <c r="D1144" s="37" t="s">
        <v>932</v>
      </c>
      <c r="E1144" s="35" t="n">
        <v>2014</v>
      </c>
      <c r="F1144" s="38" t="n">
        <v>8542.02</v>
      </c>
      <c r="G1144" s="39" t="n">
        <v>1</v>
      </c>
      <c r="H1144" s="40" t="n">
        <v>2925</v>
      </c>
    </row>
    <row r="1145" s="33" customFormat="true" ht="14.25" hidden="false" customHeight="false" outlineLevel="0" collapsed="false">
      <c r="A1145" s="34" t="n">
        <f aca="false">A1144+1</f>
        <v>1140</v>
      </c>
      <c r="B1145" s="35" t="s">
        <v>345</v>
      </c>
      <c r="C1145" s="35" t="str">
        <f aca="false">"0043869"</f>
        <v>0043869</v>
      </c>
      <c r="D1145" s="37" t="s">
        <v>976</v>
      </c>
      <c r="E1145" s="35" t="n">
        <v>2014</v>
      </c>
      <c r="F1145" s="38" t="n">
        <v>3808.77</v>
      </c>
      <c r="G1145" s="39" t="n">
        <v>6</v>
      </c>
      <c r="H1145" s="40" t="n">
        <v>7830</v>
      </c>
    </row>
    <row r="1146" s="33" customFormat="true" ht="14.25" hidden="false" customHeight="false" outlineLevel="0" collapsed="false">
      <c r="A1146" s="34" t="n">
        <f aca="false">A1145+1</f>
        <v>1141</v>
      </c>
      <c r="B1146" s="35" t="s">
        <v>345</v>
      </c>
      <c r="C1146" s="35" t="str">
        <f aca="false">"0043876"</f>
        <v>0043876</v>
      </c>
      <c r="D1146" s="37" t="s">
        <v>797</v>
      </c>
      <c r="E1146" s="35" t="n">
        <v>2014</v>
      </c>
      <c r="F1146" s="38" t="n">
        <v>10046.4</v>
      </c>
      <c r="G1146" s="39" t="n">
        <v>2</v>
      </c>
      <c r="H1146" s="40" t="n">
        <v>6880</v>
      </c>
    </row>
    <row r="1147" s="33" customFormat="true" ht="14.25" hidden="false" customHeight="false" outlineLevel="0" collapsed="false">
      <c r="A1147" s="34" t="n">
        <f aca="false">A1146+1</f>
        <v>1142</v>
      </c>
      <c r="B1147" s="35" t="s">
        <v>345</v>
      </c>
      <c r="C1147" s="35" t="str">
        <f aca="false">"0044111"</f>
        <v>0044111</v>
      </c>
      <c r="D1147" s="37" t="s">
        <v>977</v>
      </c>
      <c r="E1147" s="35" t="n">
        <v>2014</v>
      </c>
      <c r="F1147" s="38" t="n">
        <v>7252</v>
      </c>
      <c r="G1147" s="39" t="n">
        <v>2</v>
      </c>
      <c r="H1147" s="40" t="n">
        <v>4970</v>
      </c>
    </row>
    <row r="1148" s="33" customFormat="true" ht="14.25" hidden="false" customHeight="false" outlineLevel="0" collapsed="false">
      <c r="A1148" s="34" t="n">
        <f aca="false">A1147+1</f>
        <v>1143</v>
      </c>
      <c r="B1148" s="35" t="s">
        <v>345</v>
      </c>
      <c r="C1148" s="35" t="str">
        <f aca="false">"0044131"</f>
        <v>0044131</v>
      </c>
      <c r="D1148" s="37" t="s">
        <v>942</v>
      </c>
      <c r="E1148" s="35" t="n">
        <v>2014</v>
      </c>
      <c r="F1148" s="38" t="n">
        <v>6500</v>
      </c>
      <c r="G1148" s="39" t="n">
        <v>1</v>
      </c>
      <c r="H1148" s="40" t="n">
        <v>2230</v>
      </c>
    </row>
    <row r="1149" s="33" customFormat="true" ht="14.25" hidden="false" customHeight="false" outlineLevel="0" collapsed="false">
      <c r="A1149" s="34" t="n">
        <f aca="false">A1148+1</f>
        <v>1144</v>
      </c>
      <c r="B1149" s="35" t="s">
        <v>345</v>
      </c>
      <c r="C1149" s="35" t="str">
        <f aca="false">"0044346"</f>
        <v>0044346</v>
      </c>
      <c r="D1149" s="37" t="s">
        <v>978</v>
      </c>
      <c r="E1149" s="35" t="n">
        <v>2015</v>
      </c>
      <c r="F1149" s="38" t="n">
        <v>10450</v>
      </c>
      <c r="G1149" s="39" t="n">
        <v>2</v>
      </c>
      <c r="H1149" s="40" t="n">
        <v>8530</v>
      </c>
    </row>
    <row r="1150" s="33" customFormat="true" ht="14.25" hidden="false" customHeight="false" outlineLevel="0" collapsed="false">
      <c r="A1150" s="34" t="n">
        <f aca="false">A1149+1</f>
        <v>1145</v>
      </c>
      <c r="B1150" s="35" t="s">
        <v>345</v>
      </c>
      <c r="C1150" s="35" t="str">
        <f aca="false">"0044417"</f>
        <v>0044417</v>
      </c>
      <c r="D1150" s="37" t="s">
        <v>959</v>
      </c>
      <c r="E1150" s="35" t="n">
        <v>2015</v>
      </c>
      <c r="F1150" s="38" t="n">
        <v>6716</v>
      </c>
      <c r="G1150" s="39" t="n">
        <v>1</v>
      </c>
      <c r="H1150" s="40" t="n">
        <v>2740</v>
      </c>
    </row>
    <row r="1151" s="33" customFormat="true" ht="14.25" hidden="false" customHeight="false" outlineLevel="0" collapsed="false">
      <c r="A1151" s="34" t="n">
        <f aca="false">A1150+1</f>
        <v>1146</v>
      </c>
      <c r="B1151" s="35" t="s">
        <v>345</v>
      </c>
      <c r="C1151" s="35" t="str">
        <f aca="false">"0044428"</f>
        <v>0044428</v>
      </c>
      <c r="D1151" s="37" t="s">
        <v>979</v>
      </c>
      <c r="E1151" s="35" t="n">
        <v>2015</v>
      </c>
      <c r="F1151" s="38" t="n">
        <v>4329.5</v>
      </c>
      <c r="G1151" s="39" t="n">
        <v>1</v>
      </c>
      <c r="H1151" s="40" t="n">
        <v>1770</v>
      </c>
    </row>
    <row r="1152" s="33" customFormat="true" ht="14.25" hidden="false" customHeight="false" outlineLevel="0" collapsed="false">
      <c r="A1152" s="34" t="n">
        <f aca="false">A1151+1</f>
        <v>1147</v>
      </c>
      <c r="B1152" s="35" t="s">
        <v>345</v>
      </c>
      <c r="C1152" s="35" t="str">
        <f aca="false">"0044429"</f>
        <v>0044429</v>
      </c>
      <c r="D1152" s="37" t="s">
        <v>980</v>
      </c>
      <c r="E1152" s="35" t="n">
        <v>2015</v>
      </c>
      <c r="F1152" s="38" t="n">
        <v>24545</v>
      </c>
      <c r="G1152" s="39" t="n">
        <v>2</v>
      </c>
      <c r="H1152" s="40" t="n">
        <v>20000</v>
      </c>
    </row>
    <row r="1153" s="33" customFormat="true" ht="14.25" hidden="false" customHeight="false" outlineLevel="0" collapsed="false">
      <c r="A1153" s="34" t="n">
        <f aca="false">A1152+1</f>
        <v>1148</v>
      </c>
      <c r="B1153" s="35" t="s">
        <v>345</v>
      </c>
      <c r="C1153" s="35" t="str">
        <f aca="false">"0044431"</f>
        <v>0044431</v>
      </c>
      <c r="D1153" s="37" t="s">
        <v>981</v>
      </c>
      <c r="E1153" s="35" t="n">
        <v>2015</v>
      </c>
      <c r="F1153" s="38" t="n">
        <v>14465</v>
      </c>
      <c r="G1153" s="39" t="n">
        <v>2</v>
      </c>
      <c r="H1153" s="40" t="n">
        <v>11800</v>
      </c>
    </row>
    <row r="1154" s="33" customFormat="true" ht="14.25" hidden="false" customHeight="false" outlineLevel="0" collapsed="false">
      <c r="A1154" s="34" t="n">
        <f aca="false">A1153+1</f>
        <v>1149</v>
      </c>
      <c r="B1154" s="35" t="s">
        <v>345</v>
      </c>
      <c r="C1154" s="35" t="str">
        <f aca="false">"0044433"</f>
        <v>0044433</v>
      </c>
      <c r="D1154" s="37" t="s">
        <v>982</v>
      </c>
      <c r="E1154" s="35" t="n">
        <v>2015</v>
      </c>
      <c r="F1154" s="38" t="n">
        <v>8920.6</v>
      </c>
      <c r="G1154" s="39" t="n">
        <v>2</v>
      </c>
      <c r="H1154" s="40" t="n">
        <v>7280</v>
      </c>
    </row>
    <row r="1155" s="33" customFormat="true" ht="14.25" hidden="false" customHeight="false" outlineLevel="0" collapsed="false">
      <c r="A1155" s="34" t="n">
        <f aca="false">A1154+1</f>
        <v>1150</v>
      </c>
      <c r="B1155" s="35" t="s">
        <v>345</v>
      </c>
      <c r="C1155" s="35" t="str">
        <f aca="false">"0044435"</f>
        <v>0044435</v>
      </c>
      <c r="D1155" s="37" t="s">
        <v>983</v>
      </c>
      <c r="E1155" s="35" t="n">
        <v>2015</v>
      </c>
      <c r="F1155" s="38" t="n">
        <v>5120</v>
      </c>
      <c r="G1155" s="39" t="n">
        <v>2</v>
      </c>
      <c r="H1155" s="40" t="n">
        <v>4200</v>
      </c>
    </row>
    <row r="1156" s="33" customFormat="true" ht="14.25" hidden="false" customHeight="false" outlineLevel="0" collapsed="false">
      <c r="A1156" s="34" t="n">
        <f aca="false">A1155+1</f>
        <v>1151</v>
      </c>
      <c r="B1156" s="35" t="s">
        <v>345</v>
      </c>
      <c r="C1156" s="35" t="str">
        <f aca="false">"0044437"</f>
        <v>0044437</v>
      </c>
      <c r="D1156" s="37" t="s">
        <v>884</v>
      </c>
      <c r="E1156" s="35" t="n">
        <v>2015</v>
      </c>
      <c r="F1156" s="38" t="n">
        <v>24708</v>
      </c>
      <c r="G1156" s="39" t="n">
        <v>1</v>
      </c>
      <c r="H1156" s="40" t="n">
        <v>10100</v>
      </c>
    </row>
    <row r="1157" s="33" customFormat="true" ht="14.25" hidden="false" customHeight="false" outlineLevel="0" collapsed="false">
      <c r="A1157" s="34" t="n">
        <f aca="false">A1156+1</f>
        <v>1152</v>
      </c>
      <c r="B1157" s="35" t="s">
        <v>345</v>
      </c>
      <c r="C1157" s="35" t="str">
        <f aca="false">"0044438"</f>
        <v>0044438</v>
      </c>
      <c r="D1157" s="37" t="s">
        <v>984</v>
      </c>
      <c r="E1157" s="35" t="n">
        <v>2015</v>
      </c>
      <c r="F1157" s="38" t="n">
        <v>3969.5</v>
      </c>
      <c r="G1157" s="39" t="n">
        <v>1</v>
      </c>
      <c r="H1157" s="40" t="n">
        <v>1400</v>
      </c>
    </row>
    <row r="1158" s="33" customFormat="true" ht="14.25" hidden="false" customHeight="false" outlineLevel="0" collapsed="false">
      <c r="A1158" s="34" t="n">
        <f aca="false">A1157+1</f>
        <v>1153</v>
      </c>
      <c r="B1158" s="35" t="s">
        <v>345</v>
      </c>
      <c r="C1158" s="35" t="str">
        <f aca="false">"0044439"</f>
        <v>0044439</v>
      </c>
      <c r="D1158" s="37" t="s">
        <v>985</v>
      </c>
      <c r="E1158" s="35" t="n">
        <v>2015</v>
      </c>
      <c r="F1158" s="38" t="n">
        <v>22350</v>
      </c>
      <c r="G1158" s="39" t="n">
        <v>1</v>
      </c>
      <c r="H1158" s="40" t="n">
        <v>9120</v>
      </c>
    </row>
    <row r="1159" s="33" customFormat="true" ht="14.25" hidden="false" customHeight="false" outlineLevel="0" collapsed="false">
      <c r="A1159" s="34" t="n">
        <f aca="false">A1158+1</f>
        <v>1154</v>
      </c>
      <c r="B1159" s="35" t="s">
        <v>345</v>
      </c>
      <c r="C1159" s="35" t="str">
        <f aca="false">"0044440"</f>
        <v>0044440</v>
      </c>
      <c r="D1159" s="37" t="s">
        <v>985</v>
      </c>
      <c r="E1159" s="35" t="n">
        <v>2015</v>
      </c>
      <c r="F1159" s="38" t="n">
        <v>24625</v>
      </c>
      <c r="G1159" s="39" t="n">
        <v>1</v>
      </c>
      <c r="H1159" s="40" t="n">
        <v>10050</v>
      </c>
    </row>
    <row r="1160" s="33" customFormat="true" ht="14.25" hidden="false" customHeight="false" outlineLevel="0" collapsed="false">
      <c r="A1160" s="34" t="n">
        <f aca="false">A1159+1</f>
        <v>1155</v>
      </c>
      <c r="B1160" s="35" t="s">
        <v>345</v>
      </c>
      <c r="C1160" s="35" t="str">
        <f aca="false">"0044441"</f>
        <v>0044441</v>
      </c>
      <c r="D1160" s="37" t="s">
        <v>986</v>
      </c>
      <c r="E1160" s="35" t="n">
        <v>2015</v>
      </c>
      <c r="F1160" s="38" t="n">
        <v>12853</v>
      </c>
      <c r="G1160" s="39" t="n">
        <v>1</v>
      </c>
      <c r="H1160" s="40" t="n">
        <v>5250</v>
      </c>
    </row>
    <row r="1161" s="33" customFormat="true" ht="14.25" hidden="false" customHeight="false" outlineLevel="0" collapsed="false">
      <c r="A1161" s="34" t="n">
        <f aca="false">A1160+1</f>
        <v>1156</v>
      </c>
      <c r="B1161" s="35" t="s">
        <v>345</v>
      </c>
      <c r="C1161" s="35" t="str">
        <f aca="false">"0044442"</f>
        <v>0044442</v>
      </c>
      <c r="D1161" s="37" t="s">
        <v>987</v>
      </c>
      <c r="E1161" s="35" t="n">
        <v>2015</v>
      </c>
      <c r="F1161" s="38" t="n">
        <v>4689.4</v>
      </c>
      <c r="G1161" s="39" t="n">
        <v>1</v>
      </c>
      <c r="H1161" s="40" t="n">
        <v>1915</v>
      </c>
    </row>
    <row r="1162" s="33" customFormat="true" ht="14.25" hidden="false" customHeight="false" outlineLevel="0" collapsed="false">
      <c r="A1162" s="34" t="n">
        <f aca="false">A1161+1</f>
        <v>1157</v>
      </c>
      <c r="B1162" s="35" t="s">
        <v>345</v>
      </c>
      <c r="C1162" s="35" t="str">
        <f aca="false">"0044443"</f>
        <v>0044443</v>
      </c>
      <c r="D1162" s="37" t="s">
        <v>988</v>
      </c>
      <c r="E1162" s="35" t="n">
        <v>2015</v>
      </c>
      <c r="F1162" s="38" t="n">
        <v>27517.05</v>
      </c>
      <c r="G1162" s="39" t="n">
        <v>1</v>
      </c>
      <c r="H1162" s="40" t="n">
        <v>11230</v>
      </c>
    </row>
    <row r="1163" s="33" customFormat="true" ht="14.25" hidden="false" customHeight="false" outlineLevel="0" collapsed="false">
      <c r="A1163" s="34" t="n">
        <f aca="false">A1162+1</f>
        <v>1158</v>
      </c>
      <c r="B1163" s="35" t="s">
        <v>345</v>
      </c>
      <c r="C1163" s="35" t="str">
        <f aca="false">"0044444"</f>
        <v>0044444</v>
      </c>
      <c r="D1163" s="37" t="s">
        <v>857</v>
      </c>
      <c r="E1163" s="35" t="n">
        <v>2015</v>
      </c>
      <c r="F1163" s="38" t="n">
        <v>31876.2</v>
      </c>
      <c r="G1163" s="39" t="n">
        <v>2</v>
      </c>
      <c r="H1163" s="40" t="n">
        <v>26000</v>
      </c>
    </row>
    <row r="1164" s="33" customFormat="true" ht="14.25" hidden="false" customHeight="false" outlineLevel="0" collapsed="false">
      <c r="A1164" s="34" t="n">
        <f aca="false">A1163+1</f>
        <v>1159</v>
      </c>
      <c r="B1164" s="35" t="s">
        <v>345</v>
      </c>
      <c r="C1164" s="35" t="str">
        <f aca="false">"0044446"</f>
        <v>0044446</v>
      </c>
      <c r="D1164" s="37" t="s">
        <v>858</v>
      </c>
      <c r="E1164" s="35" t="n">
        <v>2015</v>
      </c>
      <c r="F1164" s="38" t="n">
        <v>9829.3</v>
      </c>
      <c r="G1164" s="39" t="n">
        <v>1</v>
      </c>
      <c r="H1164" s="40" t="n">
        <v>4000</v>
      </c>
    </row>
    <row r="1165" s="33" customFormat="true" ht="14.25" hidden="false" customHeight="false" outlineLevel="0" collapsed="false">
      <c r="A1165" s="34" t="n">
        <f aca="false">A1164+1</f>
        <v>1160</v>
      </c>
      <c r="B1165" s="35" t="s">
        <v>345</v>
      </c>
      <c r="C1165" s="35" t="str">
        <f aca="false">"0044447"</f>
        <v>0044447</v>
      </c>
      <c r="D1165" s="37" t="s">
        <v>853</v>
      </c>
      <c r="E1165" s="35" t="n">
        <v>2015</v>
      </c>
      <c r="F1165" s="38" t="n">
        <v>4414.8</v>
      </c>
      <c r="G1165" s="39" t="n">
        <v>1</v>
      </c>
      <c r="H1165" s="40" t="n">
        <v>1800</v>
      </c>
    </row>
    <row r="1166" s="33" customFormat="true" ht="14.25" hidden="false" customHeight="false" outlineLevel="0" collapsed="false">
      <c r="A1166" s="34" t="n">
        <f aca="false">A1165+1</f>
        <v>1161</v>
      </c>
      <c r="B1166" s="35" t="s">
        <v>345</v>
      </c>
      <c r="C1166" s="35" t="str">
        <f aca="false">"0044448"</f>
        <v>0044448</v>
      </c>
      <c r="D1166" s="37" t="s">
        <v>988</v>
      </c>
      <c r="E1166" s="35" t="n">
        <v>2015</v>
      </c>
      <c r="F1166" s="38" t="n">
        <v>19816.65</v>
      </c>
      <c r="G1166" s="39" t="n">
        <v>1</v>
      </c>
      <c r="H1166" s="40" t="n">
        <v>8100</v>
      </c>
    </row>
    <row r="1167" s="33" customFormat="true" ht="14.25" hidden="false" customHeight="false" outlineLevel="0" collapsed="false">
      <c r="A1167" s="34" t="n">
        <f aca="false">A1166+1</f>
        <v>1162</v>
      </c>
      <c r="B1167" s="35" t="s">
        <v>345</v>
      </c>
      <c r="C1167" s="35" t="str">
        <f aca="false">"0044449"</f>
        <v>0044449</v>
      </c>
      <c r="D1167" s="37" t="s">
        <v>983</v>
      </c>
      <c r="E1167" s="35" t="n">
        <v>2015</v>
      </c>
      <c r="F1167" s="38" t="n">
        <v>4941.5</v>
      </c>
      <c r="G1167" s="39" t="n">
        <v>2</v>
      </c>
      <c r="H1167" s="40" t="n">
        <v>4000</v>
      </c>
    </row>
    <row r="1168" s="33" customFormat="true" ht="14.25" hidden="false" customHeight="false" outlineLevel="0" collapsed="false">
      <c r="A1168" s="34" t="n">
        <f aca="false">A1167+1</f>
        <v>1163</v>
      </c>
      <c r="B1168" s="35" t="s">
        <v>345</v>
      </c>
      <c r="C1168" s="35" t="str">
        <f aca="false">"0044451"</f>
        <v>0044451</v>
      </c>
      <c r="D1168" s="37" t="s">
        <v>989</v>
      </c>
      <c r="E1168" s="35" t="n">
        <v>2015</v>
      </c>
      <c r="F1168" s="38" t="n">
        <v>3860.94</v>
      </c>
      <c r="G1168" s="39" t="n">
        <v>1</v>
      </c>
      <c r="H1168" s="40" t="n">
        <v>1575</v>
      </c>
    </row>
    <row r="1169" s="33" customFormat="true" ht="14.25" hidden="false" customHeight="false" outlineLevel="0" collapsed="false">
      <c r="A1169" s="34" t="n">
        <f aca="false">A1168+1</f>
        <v>1164</v>
      </c>
      <c r="B1169" s="35" t="s">
        <v>345</v>
      </c>
      <c r="C1169" s="35" t="str">
        <f aca="false">"0044452"</f>
        <v>0044452</v>
      </c>
      <c r="D1169" s="37" t="s">
        <v>990</v>
      </c>
      <c r="E1169" s="35" t="n">
        <v>2015</v>
      </c>
      <c r="F1169" s="38" t="n">
        <v>13100</v>
      </c>
      <c r="G1169" s="39" t="n">
        <v>1</v>
      </c>
      <c r="H1169" s="40" t="n">
        <v>5345</v>
      </c>
    </row>
    <row r="1170" s="33" customFormat="true" ht="14.25" hidden="false" customHeight="false" outlineLevel="0" collapsed="false">
      <c r="A1170" s="34" t="n">
        <f aca="false">A1169+1</f>
        <v>1165</v>
      </c>
      <c r="B1170" s="35" t="s">
        <v>345</v>
      </c>
      <c r="C1170" s="35" t="str">
        <f aca="false">"0044453"</f>
        <v>0044453</v>
      </c>
      <c r="D1170" s="37" t="s">
        <v>991</v>
      </c>
      <c r="E1170" s="35" t="n">
        <v>2015</v>
      </c>
      <c r="F1170" s="38" t="n">
        <v>36050</v>
      </c>
      <c r="G1170" s="39" t="n">
        <v>1</v>
      </c>
      <c r="H1170" s="40" t="n">
        <v>14710</v>
      </c>
    </row>
    <row r="1171" s="33" customFormat="true" ht="14.25" hidden="false" customHeight="false" outlineLevel="0" collapsed="false">
      <c r="A1171" s="34" t="n">
        <f aca="false">A1170+1</f>
        <v>1166</v>
      </c>
      <c r="B1171" s="35" t="s">
        <v>345</v>
      </c>
      <c r="C1171" s="35" t="str">
        <f aca="false">"0044454"</f>
        <v>0044454</v>
      </c>
      <c r="D1171" s="37" t="s">
        <v>992</v>
      </c>
      <c r="E1171" s="35" t="n">
        <v>2015</v>
      </c>
      <c r="F1171" s="38" t="n">
        <v>2200</v>
      </c>
      <c r="G1171" s="39" t="n">
        <v>1</v>
      </c>
      <c r="H1171" s="40" t="n">
        <v>900</v>
      </c>
    </row>
    <row r="1172" s="33" customFormat="true" ht="14.25" hidden="false" customHeight="false" outlineLevel="0" collapsed="false">
      <c r="A1172" s="34" t="n">
        <f aca="false">A1171+1</f>
        <v>1167</v>
      </c>
      <c r="B1172" s="35" t="s">
        <v>345</v>
      </c>
      <c r="C1172" s="35" t="str">
        <f aca="false">"0044455"</f>
        <v>0044455</v>
      </c>
      <c r="D1172" s="37" t="s">
        <v>993</v>
      </c>
      <c r="E1172" s="35" t="n">
        <v>2015</v>
      </c>
      <c r="F1172" s="38" t="n">
        <v>2280</v>
      </c>
      <c r="G1172" s="39" t="n">
        <v>1</v>
      </c>
      <c r="H1172" s="40" t="n">
        <v>930</v>
      </c>
    </row>
    <row r="1173" s="33" customFormat="true" ht="14.25" hidden="false" customHeight="false" outlineLevel="0" collapsed="false">
      <c r="A1173" s="34" t="n">
        <f aca="false">A1172+1</f>
        <v>1168</v>
      </c>
      <c r="B1173" s="35" t="s">
        <v>345</v>
      </c>
      <c r="C1173" s="35" t="str">
        <f aca="false">"0044456"</f>
        <v>0044456</v>
      </c>
      <c r="D1173" s="37" t="s">
        <v>994</v>
      </c>
      <c r="E1173" s="35" t="n">
        <v>2015</v>
      </c>
      <c r="F1173" s="38" t="n">
        <v>2970</v>
      </c>
      <c r="G1173" s="39" t="n">
        <v>1</v>
      </c>
      <c r="H1173" s="40" t="n">
        <v>1210</v>
      </c>
    </row>
    <row r="1174" s="33" customFormat="true" ht="14.25" hidden="false" customHeight="false" outlineLevel="0" collapsed="false">
      <c r="A1174" s="34" t="n">
        <f aca="false">A1173+1</f>
        <v>1169</v>
      </c>
      <c r="B1174" s="35" t="s">
        <v>345</v>
      </c>
      <c r="C1174" s="35" t="str">
        <f aca="false">"0044457"</f>
        <v>0044457</v>
      </c>
      <c r="D1174" s="37" t="s">
        <v>995</v>
      </c>
      <c r="E1174" s="35" t="n">
        <v>2015</v>
      </c>
      <c r="F1174" s="38" t="n">
        <v>530</v>
      </c>
      <c r="G1174" s="39" t="n">
        <v>1</v>
      </c>
      <c r="H1174" s="40" t="n">
        <v>220</v>
      </c>
    </row>
    <row r="1175" s="33" customFormat="true" ht="14.25" hidden="false" customHeight="false" outlineLevel="0" collapsed="false">
      <c r="A1175" s="34" t="n">
        <f aca="false">A1174+1</f>
        <v>1170</v>
      </c>
      <c r="B1175" s="35" t="s">
        <v>345</v>
      </c>
      <c r="C1175" s="35" t="str">
        <f aca="false">"0044458"</f>
        <v>0044458</v>
      </c>
      <c r="D1175" s="37" t="s">
        <v>996</v>
      </c>
      <c r="E1175" s="35" t="n">
        <v>2015</v>
      </c>
      <c r="F1175" s="38" t="n">
        <v>590</v>
      </c>
      <c r="G1175" s="39" t="n">
        <v>1</v>
      </c>
      <c r="H1175" s="40" t="n">
        <v>240</v>
      </c>
    </row>
    <row r="1176" s="33" customFormat="true" ht="14.25" hidden="false" customHeight="false" outlineLevel="0" collapsed="false">
      <c r="A1176" s="34" t="n">
        <f aca="false">A1175+1</f>
        <v>1171</v>
      </c>
      <c r="B1176" s="35" t="s">
        <v>345</v>
      </c>
      <c r="C1176" s="35" t="str">
        <f aca="false">"0044459"</f>
        <v>0044459</v>
      </c>
      <c r="D1176" s="37" t="s">
        <v>997</v>
      </c>
      <c r="E1176" s="35" t="n">
        <v>2015</v>
      </c>
      <c r="F1176" s="38" t="n">
        <v>9230</v>
      </c>
      <c r="G1176" s="39" t="n">
        <v>1</v>
      </c>
      <c r="H1176" s="40" t="n">
        <v>3770</v>
      </c>
    </row>
    <row r="1177" s="33" customFormat="true" ht="14.25" hidden="false" customHeight="false" outlineLevel="0" collapsed="false">
      <c r="A1177" s="34" t="n">
        <f aca="false">A1176+1</f>
        <v>1172</v>
      </c>
      <c r="B1177" s="35" t="s">
        <v>345</v>
      </c>
      <c r="C1177" s="35" t="str">
        <f aca="false">"0044469"</f>
        <v>0044469</v>
      </c>
      <c r="D1177" s="37" t="s">
        <v>998</v>
      </c>
      <c r="E1177" s="35" t="n">
        <v>2015</v>
      </c>
      <c r="F1177" s="38" t="n">
        <v>41979.8</v>
      </c>
      <c r="G1177" s="39" t="n">
        <v>1</v>
      </c>
      <c r="H1177" s="40" t="n">
        <v>17130</v>
      </c>
    </row>
    <row r="1178" s="33" customFormat="true" ht="14.25" hidden="false" customHeight="false" outlineLevel="0" collapsed="false">
      <c r="A1178" s="34" t="n">
        <f aca="false">A1177+1</f>
        <v>1173</v>
      </c>
      <c r="B1178" s="35" t="s">
        <v>345</v>
      </c>
      <c r="C1178" s="35" t="str">
        <f aca="false">"0044470"</f>
        <v>0044470</v>
      </c>
      <c r="D1178" s="37" t="s">
        <v>999</v>
      </c>
      <c r="E1178" s="35" t="n">
        <v>2015</v>
      </c>
      <c r="F1178" s="38" t="n">
        <v>55289.11</v>
      </c>
      <c r="G1178" s="39" t="n">
        <v>1</v>
      </c>
      <c r="H1178" s="40" t="n">
        <v>22560</v>
      </c>
    </row>
    <row r="1179" s="33" customFormat="true" ht="14.25" hidden="false" customHeight="false" outlineLevel="0" collapsed="false">
      <c r="A1179" s="34" t="n">
        <f aca="false">A1178+1</f>
        <v>1174</v>
      </c>
      <c r="B1179" s="35" t="s">
        <v>345</v>
      </c>
      <c r="C1179" s="35" t="str">
        <f aca="false">"0044480"</f>
        <v>0044480</v>
      </c>
      <c r="D1179" s="37" t="s">
        <v>1000</v>
      </c>
      <c r="E1179" s="35" t="n">
        <v>2015</v>
      </c>
      <c r="F1179" s="38" t="n">
        <v>7262.4</v>
      </c>
      <c r="G1179" s="39" t="n">
        <v>1</v>
      </c>
      <c r="H1179" s="40" t="n">
        <v>2555</v>
      </c>
    </row>
    <row r="1180" s="33" customFormat="true" ht="14.25" hidden="false" customHeight="false" outlineLevel="0" collapsed="false">
      <c r="A1180" s="34" t="n">
        <f aca="false">A1179+1</f>
        <v>1175</v>
      </c>
      <c r="B1180" s="35" t="s">
        <v>345</v>
      </c>
      <c r="C1180" s="35" t="str">
        <f aca="false">"0044481"</f>
        <v>0044481</v>
      </c>
      <c r="D1180" s="37" t="s">
        <v>1001</v>
      </c>
      <c r="E1180" s="35" t="n">
        <v>2015</v>
      </c>
      <c r="F1180" s="38" t="n">
        <v>4710.3</v>
      </c>
      <c r="G1180" s="39" t="n">
        <v>1</v>
      </c>
      <c r="H1180" s="40" t="n">
        <v>1920</v>
      </c>
    </row>
    <row r="1181" s="33" customFormat="true" ht="14.25" hidden="false" customHeight="false" outlineLevel="0" collapsed="false">
      <c r="A1181" s="34" t="n">
        <f aca="false">A1180+1</f>
        <v>1176</v>
      </c>
      <c r="B1181" s="35" t="s">
        <v>345</v>
      </c>
      <c r="C1181" s="35" t="str">
        <f aca="false">"0044482"</f>
        <v>0044482</v>
      </c>
      <c r="D1181" s="37" t="s">
        <v>1002</v>
      </c>
      <c r="E1181" s="35" t="n">
        <v>2015</v>
      </c>
      <c r="F1181" s="38" t="n">
        <v>7601.7</v>
      </c>
      <c r="G1181" s="39" t="n">
        <v>1</v>
      </c>
      <c r="H1181" s="40" t="n">
        <v>3100</v>
      </c>
    </row>
    <row r="1182" s="33" customFormat="true" ht="14.25" hidden="false" customHeight="false" outlineLevel="0" collapsed="false">
      <c r="A1182" s="34" t="n">
        <f aca="false">A1181+1</f>
        <v>1177</v>
      </c>
      <c r="B1182" s="35" t="s">
        <v>345</v>
      </c>
      <c r="C1182" s="35" t="str">
        <f aca="false">"0044591"</f>
        <v>0044591</v>
      </c>
      <c r="D1182" s="37" t="s">
        <v>1003</v>
      </c>
      <c r="E1182" s="35" t="n">
        <v>2015</v>
      </c>
      <c r="F1182" s="38" t="n">
        <v>5397.28</v>
      </c>
      <c r="G1182" s="39" t="n">
        <v>1</v>
      </c>
      <c r="H1182" s="40" t="n">
        <v>2200</v>
      </c>
    </row>
    <row r="1183" s="33" customFormat="true" ht="14.25" hidden="false" customHeight="false" outlineLevel="0" collapsed="false">
      <c r="A1183" s="34" t="n">
        <f aca="false">A1182+1</f>
        <v>1178</v>
      </c>
      <c r="B1183" s="35" t="s">
        <v>345</v>
      </c>
      <c r="C1183" s="35" t="str">
        <f aca="false">"0044651"</f>
        <v>0044651</v>
      </c>
      <c r="D1183" s="37" t="s">
        <v>1004</v>
      </c>
      <c r="E1183" s="35" t="n">
        <v>2015</v>
      </c>
      <c r="F1183" s="38" t="n">
        <v>3741.7</v>
      </c>
      <c r="G1183" s="39" t="n">
        <v>1</v>
      </c>
      <c r="H1183" s="40" t="n">
        <v>1320</v>
      </c>
    </row>
    <row r="1184" s="33" customFormat="true" ht="14.25" hidden="false" customHeight="false" outlineLevel="0" collapsed="false">
      <c r="A1184" s="34" t="n">
        <f aca="false">A1183+1</f>
        <v>1179</v>
      </c>
      <c r="B1184" s="35" t="s">
        <v>345</v>
      </c>
      <c r="C1184" s="35" t="str">
        <f aca="false">"0044689"</f>
        <v>0044689</v>
      </c>
      <c r="D1184" s="37" t="s">
        <v>966</v>
      </c>
      <c r="E1184" s="35" t="n">
        <v>2015</v>
      </c>
      <c r="F1184" s="38" t="n">
        <v>6482.14</v>
      </c>
      <c r="G1184" s="39" t="n">
        <v>5</v>
      </c>
      <c r="H1184" s="40" t="n">
        <v>13225</v>
      </c>
    </row>
    <row r="1185" s="33" customFormat="true" ht="14.25" hidden="false" customHeight="false" outlineLevel="0" collapsed="false">
      <c r="A1185" s="34" t="n">
        <f aca="false">A1184+1</f>
        <v>1180</v>
      </c>
      <c r="B1185" s="35" t="s">
        <v>345</v>
      </c>
      <c r="C1185" s="35" t="str">
        <f aca="false">"0044769"</f>
        <v>0044769</v>
      </c>
      <c r="D1185" s="37" t="s">
        <v>831</v>
      </c>
      <c r="E1185" s="35" t="n">
        <v>2015</v>
      </c>
      <c r="F1185" s="38" t="n">
        <v>3902.85</v>
      </c>
      <c r="G1185" s="39" t="n">
        <v>2</v>
      </c>
      <c r="H1185" s="40" t="n">
        <v>3200</v>
      </c>
    </row>
    <row r="1186" s="33" customFormat="true" ht="14.25" hidden="false" customHeight="false" outlineLevel="0" collapsed="false">
      <c r="A1186" s="34" t="n">
        <f aca="false">A1185+1</f>
        <v>1181</v>
      </c>
      <c r="B1186" s="35" t="s">
        <v>345</v>
      </c>
      <c r="C1186" s="35" t="str">
        <f aca="false">"0044771"</f>
        <v>0044771</v>
      </c>
      <c r="D1186" s="37" t="s">
        <v>1005</v>
      </c>
      <c r="E1186" s="35" t="n">
        <v>2015</v>
      </c>
      <c r="F1186" s="38" t="n">
        <v>5799</v>
      </c>
      <c r="G1186" s="39" t="n">
        <v>1</v>
      </c>
      <c r="H1186" s="40" t="n">
        <v>2370</v>
      </c>
    </row>
    <row r="1187" s="33" customFormat="true" ht="14.25" hidden="false" customHeight="false" outlineLevel="0" collapsed="false">
      <c r="A1187" s="34" t="n">
        <f aca="false">A1186+1</f>
        <v>1182</v>
      </c>
      <c r="B1187" s="35" t="s">
        <v>345</v>
      </c>
      <c r="C1187" s="35" t="str">
        <f aca="false">"0044939"</f>
        <v>0044939</v>
      </c>
      <c r="D1187" s="37" t="s">
        <v>1006</v>
      </c>
      <c r="E1187" s="35" t="n">
        <v>2015</v>
      </c>
      <c r="F1187" s="38" t="n">
        <v>6995</v>
      </c>
      <c r="G1187" s="39" t="n">
        <v>1</v>
      </c>
      <c r="H1187" s="40" t="n">
        <v>2850</v>
      </c>
    </row>
    <row r="1188" s="33" customFormat="true" ht="14.25" hidden="false" customHeight="false" outlineLevel="0" collapsed="false">
      <c r="A1188" s="34" t="n">
        <f aca="false">A1187+1</f>
        <v>1183</v>
      </c>
      <c r="B1188" s="35" t="s">
        <v>345</v>
      </c>
      <c r="C1188" s="35" t="str">
        <f aca="false">"0044968"</f>
        <v>0044968</v>
      </c>
      <c r="D1188" s="37" t="s">
        <v>1007</v>
      </c>
      <c r="E1188" s="35" t="n">
        <v>2016</v>
      </c>
      <c r="F1188" s="38" t="n">
        <v>7262.4</v>
      </c>
      <c r="G1188" s="39" t="n">
        <v>1</v>
      </c>
      <c r="H1188" s="40" t="n">
        <v>3155</v>
      </c>
    </row>
    <row r="1189" s="33" customFormat="true" ht="14.25" hidden="false" customHeight="false" outlineLevel="0" collapsed="false">
      <c r="A1189" s="34" t="n">
        <f aca="false">A1188+1</f>
        <v>1184</v>
      </c>
      <c r="B1189" s="35" t="s">
        <v>345</v>
      </c>
      <c r="C1189" s="35" t="str">
        <f aca="false">"0044969"</f>
        <v>0044969</v>
      </c>
      <c r="D1189" s="37" t="s">
        <v>1001</v>
      </c>
      <c r="E1189" s="35" t="n">
        <v>2016</v>
      </c>
      <c r="F1189" s="38" t="n">
        <v>4892.11</v>
      </c>
      <c r="G1189" s="39" t="n">
        <v>1</v>
      </c>
      <c r="H1189" s="40" t="n">
        <v>2755</v>
      </c>
    </row>
    <row r="1190" s="33" customFormat="true" ht="14.25" hidden="false" customHeight="false" outlineLevel="0" collapsed="false">
      <c r="A1190" s="34" t="n">
        <f aca="false">A1189+1</f>
        <v>1185</v>
      </c>
      <c r="B1190" s="35" t="s">
        <v>345</v>
      </c>
      <c r="C1190" s="35" t="str">
        <f aca="false">"0045652"</f>
        <v>0045652</v>
      </c>
      <c r="D1190" s="37" t="s">
        <v>1008</v>
      </c>
      <c r="E1190" s="35" t="n">
        <v>2016</v>
      </c>
      <c r="F1190" s="38" t="n">
        <v>3465.58</v>
      </c>
      <c r="G1190" s="39" t="n">
        <v>1</v>
      </c>
      <c r="H1190" s="40" t="n">
        <v>1500</v>
      </c>
    </row>
    <row r="1191" s="33" customFormat="true" ht="14.25" hidden="false" customHeight="false" outlineLevel="0" collapsed="false">
      <c r="A1191" s="34" t="n">
        <f aca="false">A1190+1</f>
        <v>1186</v>
      </c>
      <c r="B1191" s="35" t="s">
        <v>345</v>
      </c>
      <c r="C1191" s="35" t="str">
        <f aca="false">"0045882"</f>
        <v>0045882</v>
      </c>
      <c r="D1191" s="37" t="s">
        <v>972</v>
      </c>
      <c r="E1191" s="35" t="n">
        <v>2016</v>
      </c>
      <c r="F1191" s="38" t="n">
        <v>4118.44</v>
      </c>
      <c r="G1191" s="39" t="n">
        <v>1</v>
      </c>
      <c r="H1191" s="40" t="n">
        <v>2320</v>
      </c>
    </row>
    <row r="1192" s="33" customFormat="true" ht="14.25" hidden="false" customHeight="false" outlineLevel="0" collapsed="false">
      <c r="A1192" s="34" t="n">
        <f aca="false">A1191+1</f>
        <v>1187</v>
      </c>
      <c r="B1192" s="35" t="s">
        <v>345</v>
      </c>
      <c r="C1192" s="35" t="str">
        <f aca="false">"0046477"</f>
        <v>0046477</v>
      </c>
      <c r="D1192" s="37" t="s">
        <v>1009</v>
      </c>
      <c r="E1192" s="35" t="n">
        <v>2016</v>
      </c>
      <c r="F1192" s="38" t="n">
        <v>4589.1</v>
      </c>
      <c r="G1192" s="39" t="n">
        <v>1</v>
      </c>
      <c r="H1192" s="40" t="n">
        <v>2585</v>
      </c>
    </row>
    <row r="1193" s="33" customFormat="true" ht="14.25" hidden="false" customHeight="false" outlineLevel="0" collapsed="false">
      <c r="A1193" s="34" t="n">
        <f aca="false">A1192+1</f>
        <v>1188</v>
      </c>
      <c r="B1193" s="35" t="s">
        <v>345</v>
      </c>
      <c r="C1193" s="35" t="str">
        <f aca="false">"0046711"</f>
        <v>0046711</v>
      </c>
      <c r="D1193" s="37" t="s">
        <v>1010</v>
      </c>
      <c r="E1193" s="35" t="n">
        <v>2016</v>
      </c>
      <c r="F1193" s="38" t="n">
        <v>6572.2</v>
      </c>
      <c r="G1193" s="39" t="n">
        <v>1</v>
      </c>
      <c r="H1193" s="40" t="n">
        <v>3700</v>
      </c>
    </row>
    <row r="1194" s="33" customFormat="true" ht="14.25" hidden="false" customHeight="false" outlineLevel="0" collapsed="false">
      <c r="A1194" s="34" t="n">
        <f aca="false">A1193+1</f>
        <v>1189</v>
      </c>
      <c r="B1194" s="35" t="s">
        <v>345</v>
      </c>
      <c r="C1194" s="35" t="str">
        <f aca="false">"0046712"</f>
        <v>0046712</v>
      </c>
      <c r="D1194" s="37" t="s">
        <v>1011</v>
      </c>
      <c r="E1194" s="35" t="n">
        <v>2016</v>
      </c>
      <c r="F1194" s="38" t="n">
        <v>5242.17</v>
      </c>
      <c r="G1194" s="39" t="n">
        <v>1</v>
      </c>
      <c r="H1194" s="40" t="n">
        <v>2950</v>
      </c>
    </row>
    <row r="1195" s="33" customFormat="true" ht="14.25" hidden="false" customHeight="false" outlineLevel="0" collapsed="false">
      <c r="A1195" s="34" t="n">
        <f aca="false">A1194+1</f>
        <v>1190</v>
      </c>
      <c r="B1195" s="35" t="s">
        <v>345</v>
      </c>
      <c r="C1195" s="35" t="str">
        <f aca="false">"0046713"</f>
        <v>0046713</v>
      </c>
      <c r="D1195" s="37" t="s">
        <v>1012</v>
      </c>
      <c r="E1195" s="35" t="n">
        <v>2016</v>
      </c>
      <c r="F1195" s="38" t="n">
        <v>7345.8</v>
      </c>
      <c r="G1195" s="39" t="n">
        <v>1</v>
      </c>
      <c r="H1195" s="40" t="n">
        <v>4140</v>
      </c>
    </row>
    <row r="1196" s="33" customFormat="true" ht="14.25" hidden="false" customHeight="false" outlineLevel="0" collapsed="false">
      <c r="A1196" s="34" t="n">
        <f aca="false">A1195+1</f>
        <v>1191</v>
      </c>
      <c r="B1196" s="35" t="s">
        <v>345</v>
      </c>
      <c r="C1196" s="35" t="str">
        <f aca="false">"0046731"</f>
        <v>0046731</v>
      </c>
      <c r="D1196" s="37" t="s">
        <v>1001</v>
      </c>
      <c r="E1196" s="35" t="n">
        <v>2016</v>
      </c>
      <c r="F1196" s="38" t="n">
        <v>5393.7</v>
      </c>
      <c r="G1196" s="39" t="n">
        <v>1</v>
      </c>
      <c r="H1196" s="40" t="n">
        <v>3040</v>
      </c>
    </row>
    <row r="1197" s="33" customFormat="true" ht="14.25" hidden="false" customHeight="false" outlineLevel="0" collapsed="false">
      <c r="A1197" s="34" t="n">
        <f aca="false">A1196+1</f>
        <v>1192</v>
      </c>
      <c r="B1197" s="35" t="s">
        <v>345</v>
      </c>
      <c r="C1197" s="35" t="str">
        <f aca="false">"0046732"</f>
        <v>0046732</v>
      </c>
      <c r="D1197" s="37" t="s">
        <v>1013</v>
      </c>
      <c r="E1197" s="35" t="n">
        <v>2016</v>
      </c>
      <c r="F1197" s="38" t="n">
        <v>11279.9</v>
      </c>
      <c r="G1197" s="39" t="n">
        <v>1</v>
      </c>
      <c r="H1197" s="40" t="n">
        <v>4900</v>
      </c>
    </row>
    <row r="1198" s="33" customFormat="true" ht="14.25" hidden="false" customHeight="false" outlineLevel="0" collapsed="false">
      <c r="A1198" s="34" t="n">
        <f aca="false">A1197+1</f>
        <v>1193</v>
      </c>
      <c r="B1198" s="35" t="s">
        <v>345</v>
      </c>
      <c r="C1198" s="35" t="str">
        <f aca="false">"0046781"</f>
        <v>0046781</v>
      </c>
      <c r="D1198" s="37" t="s">
        <v>942</v>
      </c>
      <c r="E1198" s="35" t="n">
        <v>2016</v>
      </c>
      <c r="F1198" s="38" t="n">
        <v>7822.5</v>
      </c>
      <c r="G1198" s="39" t="n">
        <v>1</v>
      </c>
      <c r="H1198" s="40" t="n">
        <v>4400</v>
      </c>
    </row>
    <row r="1199" s="33" customFormat="true" ht="14.25" hidden="false" customHeight="false" outlineLevel="0" collapsed="false">
      <c r="A1199" s="34" t="n">
        <f aca="false">A1198+1</f>
        <v>1194</v>
      </c>
      <c r="B1199" s="35" t="s">
        <v>345</v>
      </c>
      <c r="C1199" s="35" t="str">
        <f aca="false">"0046782"</f>
        <v>0046782</v>
      </c>
      <c r="D1199" s="37" t="s">
        <v>1014</v>
      </c>
      <c r="E1199" s="35" t="n">
        <v>2016</v>
      </c>
      <c r="F1199" s="38" t="n">
        <v>10118.4</v>
      </c>
      <c r="G1199" s="39" t="n">
        <v>1</v>
      </c>
      <c r="H1199" s="40" t="n">
        <v>5700</v>
      </c>
    </row>
    <row r="1200" s="33" customFormat="true" ht="14.25" hidden="false" customHeight="false" outlineLevel="0" collapsed="false">
      <c r="A1200" s="34" t="n">
        <f aca="false">A1199+1</f>
        <v>1195</v>
      </c>
      <c r="B1200" s="35" t="s">
        <v>345</v>
      </c>
      <c r="C1200" s="35" t="str">
        <f aca="false">"0046829"</f>
        <v>0046829</v>
      </c>
      <c r="D1200" s="37" t="s">
        <v>1001</v>
      </c>
      <c r="E1200" s="35" t="n">
        <v>2016</v>
      </c>
      <c r="F1200" s="38" t="n">
        <v>4710.3</v>
      </c>
      <c r="G1200" s="39" t="n">
        <v>1</v>
      </c>
      <c r="H1200" s="40" t="n">
        <v>2650</v>
      </c>
    </row>
    <row r="1201" s="33" customFormat="true" ht="14.25" hidden="false" customHeight="false" outlineLevel="0" collapsed="false">
      <c r="A1201" s="34" t="n">
        <f aca="false">A1200+1</f>
        <v>1196</v>
      </c>
      <c r="B1201" s="35" t="s">
        <v>345</v>
      </c>
      <c r="C1201" s="35" t="str">
        <f aca="false">"0049551"</f>
        <v>0049551</v>
      </c>
      <c r="D1201" s="37" t="s">
        <v>942</v>
      </c>
      <c r="E1201" s="35" t="n">
        <v>2017</v>
      </c>
      <c r="F1201" s="38" t="n">
        <v>7540</v>
      </c>
      <c r="G1201" s="39" t="n">
        <v>1</v>
      </c>
      <c r="H1201" s="40" t="n">
        <v>4250</v>
      </c>
    </row>
    <row r="1202" s="33" customFormat="true" ht="14.25" hidden="false" customHeight="false" outlineLevel="0" collapsed="false">
      <c r="A1202" s="34" t="n">
        <f aca="false">A1201+1</f>
        <v>1197</v>
      </c>
      <c r="B1202" s="35" t="s">
        <v>345</v>
      </c>
      <c r="C1202" s="35" t="str">
        <f aca="false">"0049695"</f>
        <v>0049695</v>
      </c>
      <c r="D1202" s="37" t="s">
        <v>1015</v>
      </c>
      <c r="E1202" s="35" t="n">
        <v>2017</v>
      </c>
      <c r="F1202" s="38" t="n">
        <v>5979.52</v>
      </c>
      <c r="G1202" s="39" t="n">
        <v>4</v>
      </c>
      <c r="H1202" s="40" t="n">
        <v>13480</v>
      </c>
    </row>
    <row r="1203" s="33" customFormat="true" ht="14.25" hidden="false" customHeight="false" outlineLevel="0" collapsed="false">
      <c r="A1203" s="34" t="n">
        <f aca="false">A1202+1</f>
        <v>1198</v>
      </c>
      <c r="B1203" s="35" t="s">
        <v>345</v>
      </c>
      <c r="C1203" s="35" t="str">
        <f aca="false">"0049804"</f>
        <v>0049804</v>
      </c>
      <c r="D1203" s="37" t="s">
        <v>1016</v>
      </c>
      <c r="E1203" s="35" t="n">
        <v>2017</v>
      </c>
      <c r="F1203" s="38" t="n">
        <v>8965.4</v>
      </c>
      <c r="G1203" s="39" t="n">
        <v>1</v>
      </c>
      <c r="H1203" s="40" t="n">
        <v>4735</v>
      </c>
    </row>
    <row r="1204" s="33" customFormat="true" ht="14.25" hidden="false" customHeight="false" outlineLevel="0" collapsed="false">
      <c r="A1204" s="34" t="n">
        <f aca="false">A1203+1</f>
        <v>1199</v>
      </c>
      <c r="B1204" s="35" t="s">
        <v>1017</v>
      </c>
      <c r="C1204" s="35" t="str">
        <f aca="false">"0003969"</f>
        <v>0003969</v>
      </c>
      <c r="D1204" s="37" t="s">
        <v>1018</v>
      </c>
      <c r="E1204" s="35" t="n">
        <v>2004</v>
      </c>
      <c r="F1204" s="38" t="n">
        <v>18136</v>
      </c>
      <c r="G1204" s="39" t="n">
        <v>1</v>
      </c>
      <c r="H1204" s="40" t="n">
        <v>1160</v>
      </c>
    </row>
    <row r="1205" s="33" customFormat="true" ht="14.25" hidden="false" customHeight="false" outlineLevel="0" collapsed="false">
      <c r="A1205" s="34" t="n">
        <f aca="false">A1204+1</f>
        <v>1200</v>
      </c>
      <c r="B1205" s="35" t="s">
        <v>1017</v>
      </c>
      <c r="C1205" s="35" t="str">
        <f aca="false">"0003970"</f>
        <v>0003970</v>
      </c>
      <c r="D1205" s="37" t="s">
        <v>1019</v>
      </c>
      <c r="E1205" s="35" t="n">
        <v>2004</v>
      </c>
      <c r="F1205" s="38" t="n">
        <v>15975</v>
      </c>
      <c r="G1205" s="39" t="n">
        <v>1</v>
      </c>
      <c r="H1205" s="40" t="n">
        <v>1020</v>
      </c>
    </row>
    <row r="1206" s="33" customFormat="true" ht="14.25" hidden="false" customHeight="false" outlineLevel="0" collapsed="false">
      <c r="A1206" s="34" t="n">
        <f aca="false">A1205+1</f>
        <v>1201</v>
      </c>
      <c r="B1206" s="35" t="s">
        <v>1017</v>
      </c>
      <c r="C1206" s="35" t="str">
        <f aca="false">"0003971"</f>
        <v>0003971</v>
      </c>
      <c r="D1206" s="37" t="s">
        <v>1020</v>
      </c>
      <c r="E1206" s="35" t="n">
        <v>2004</v>
      </c>
      <c r="F1206" s="38" t="n">
        <v>20340</v>
      </c>
      <c r="G1206" s="39" t="n">
        <v>1</v>
      </c>
      <c r="H1206" s="40" t="n">
        <v>1300</v>
      </c>
    </row>
    <row r="1207" s="33" customFormat="true" ht="14.25" hidden="false" customHeight="false" outlineLevel="0" collapsed="false">
      <c r="A1207" s="34" t="n">
        <f aca="false">A1206+1</f>
        <v>1202</v>
      </c>
      <c r="B1207" s="35" t="s">
        <v>1017</v>
      </c>
      <c r="C1207" s="35" t="str">
        <f aca="false">"0003972"</f>
        <v>0003972</v>
      </c>
      <c r="D1207" s="37" t="s">
        <v>1021</v>
      </c>
      <c r="E1207" s="35" t="n">
        <v>2004</v>
      </c>
      <c r="F1207" s="38" t="n">
        <v>16137</v>
      </c>
      <c r="G1207" s="39" t="n">
        <v>1</v>
      </c>
      <c r="H1207" s="40" t="n">
        <v>1030</v>
      </c>
    </row>
    <row r="1208" s="33" customFormat="true" ht="14.25" hidden="false" customHeight="false" outlineLevel="0" collapsed="false">
      <c r="A1208" s="34" t="n">
        <f aca="false">A1207+1</f>
        <v>1203</v>
      </c>
      <c r="B1208" s="35" t="s">
        <v>1017</v>
      </c>
      <c r="C1208" s="35" t="str">
        <f aca="false">"0003973"</f>
        <v>0003973</v>
      </c>
      <c r="D1208" s="37" t="s">
        <v>1022</v>
      </c>
      <c r="E1208" s="35" t="n">
        <v>2004</v>
      </c>
      <c r="F1208" s="38" t="n">
        <v>21236</v>
      </c>
      <c r="G1208" s="39" t="n">
        <v>1</v>
      </c>
      <c r="H1208" s="40" t="n">
        <v>1360</v>
      </c>
    </row>
    <row r="1209" s="33" customFormat="true" ht="14.25" hidden="false" customHeight="false" outlineLevel="0" collapsed="false">
      <c r="A1209" s="34" t="n">
        <f aca="false">A1208+1</f>
        <v>1204</v>
      </c>
      <c r="B1209" s="35" t="s">
        <v>1017</v>
      </c>
      <c r="C1209" s="35" t="str">
        <f aca="false">"0003974"</f>
        <v>0003974</v>
      </c>
      <c r="D1209" s="37" t="s">
        <v>1023</v>
      </c>
      <c r="E1209" s="35" t="n">
        <v>2004</v>
      </c>
      <c r="F1209" s="38" t="n">
        <v>19250</v>
      </c>
      <c r="G1209" s="39" t="n">
        <v>1</v>
      </c>
      <c r="H1209" s="40" t="n">
        <v>1230</v>
      </c>
    </row>
    <row r="1210" s="33" customFormat="true" ht="14.25" hidden="false" customHeight="false" outlineLevel="0" collapsed="false">
      <c r="A1210" s="34" t="n">
        <f aca="false">A1209+1</f>
        <v>1205</v>
      </c>
      <c r="B1210" s="35" t="s">
        <v>1017</v>
      </c>
      <c r="C1210" s="35" t="str">
        <f aca="false">"0003975"</f>
        <v>0003975</v>
      </c>
      <c r="D1210" s="37" t="s">
        <v>1024</v>
      </c>
      <c r="E1210" s="35" t="n">
        <v>2004</v>
      </c>
      <c r="F1210" s="38" t="n">
        <v>12980</v>
      </c>
      <c r="G1210" s="39" t="n">
        <v>1</v>
      </c>
      <c r="H1210" s="40" t="n">
        <v>830</v>
      </c>
    </row>
    <row r="1211" s="33" customFormat="true" ht="14.25" hidden="false" customHeight="false" outlineLevel="0" collapsed="false">
      <c r="A1211" s="34" t="n">
        <f aca="false">A1210+1</f>
        <v>1206</v>
      </c>
      <c r="B1211" s="35" t="s">
        <v>1017</v>
      </c>
      <c r="C1211" s="35" t="str">
        <f aca="false">"0003976"</f>
        <v>0003976</v>
      </c>
      <c r="D1211" s="37" t="s">
        <v>1025</v>
      </c>
      <c r="E1211" s="35" t="n">
        <v>2004</v>
      </c>
      <c r="F1211" s="38" t="n">
        <v>15800</v>
      </c>
      <c r="G1211" s="39" t="n">
        <v>1</v>
      </c>
      <c r="H1211" s="40" t="n">
        <v>1000</v>
      </c>
    </row>
    <row r="1212" s="33" customFormat="true" ht="14.25" hidden="false" customHeight="false" outlineLevel="0" collapsed="false">
      <c r="A1212" s="34" t="n">
        <f aca="false">A1211+1</f>
        <v>1207</v>
      </c>
      <c r="B1212" s="35" t="s">
        <v>1017</v>
      </c>
      <c r="C1212" s="35" t="str">
        <f aca="false">"0004057"</f>
        <v>0004057</v>
      </c>
      <c r="D1212" s="37" t="s">
        <v>1026</v>
      </c>
      <c r="E1212" s="35" t="n">
        <v>2004</v>
      </c>
      <c r="F1212" s="38" t="n">
        <v>14100</v>
      </c>
      <c r="G1212" s="39" t="n">
        <v>1</v>
      </c>
      <c r="H1212" s="40" t="n">
        <v>900</v>
      </c>
    </row>
    <row r="1213" s="33" customFormat="true" ht="14.25" hidden="false" customHeight="false" outlineLevel="0" collapsed="false">
      <c r="A1213" s="34" t="n">
        <f aca="false">A1212+1</f>
        <v>1208</v>
      </c>
      <c r="B1213" s="35" t="s">
        <v>1017</v>
      </c>
      <c r="C1213" s="35" t="str">
        <f aca="false">"0004058"</f>
        <v>0004058</v>
      </c>
      <c r="D1213" s="37" t="s">
        <v>1027</v>
      </c>
      <c r="E1213" s="35" t="n">
        <v>2004</v>
      </c>
      <c r="F1213" s="38" t="n">
        <v>12088</v>
      </c>
      <c r="G1213" s="39" t="n">
        <v>1</v>
      </c>
      <c r="H1213" s="40" t="n">
        <v>770</v>
      </c>
    </row>
    <row r="1214" s="33" customFormat="true" ht="14.25" hidden="false" customHeight="false" outlineLevel="0" collapsed="false">
      <c r="A1214" s="34" t="n">
        <f aca="false">A1213+1</f>
        <v>1209</v>
      </c>
      <c r="B1214" s="35" t="s">
        <v>1017</v>
      </c>
      <c r="C1214" s="35" t="str">
        <f aca="false">"0004059"</f>
        <v>0004059</v>
      </c>
      <c r="D1214" s="37" t="s">
        <v>1028</v>
      </c>
      <c r="E1214" s="35" t="n">
        <v>2004</v>
      </c>
      <c r="F1214" s="38" t="n">
        <v>12760</v>
      </c>
      <c r="G1214" s="39" t="n">
        <v>1</v>
      </c>
      <c r="H1214" s="40" t="n">
        <v>820</v>
      </c>
    </row>
    <row r="1215" s="33" customFormat="true" ht="14.25" hidden="false" customHeight="false" outlineLevel="0" collapsed="false">
      <c r="A1215" s="34" t="n">
        <f aca="false">A1214+1</f>
        <v>1210</v>
      </c>
      <c r="B1215" s="35" t="s">
        <v>1017</v>
      </c>
      <c r="C1215" s="35" t="str">
        <f aca="false">"0004060"</f>
        <v>0004060</v>
      </c>
      <c r="D1215" s="37" t="s">
        <v>1029</v>
      </c>
      <c r="E1215" s="35" t="n">
        <v>2004</v>
      </c>
      <c r="F1215" s="38" t="n">
        <v>14832</v>
      </c>
      <c r="G1215" s="39" t="n">
        <v>1</v>
      </c>
      <c r="H1215" s="40" t="n">
        <v>950</v>
      </c>
    </row>
    <row r="1216" s="33" customFormat="true" ht="14.25" hidden="false" customHeight="false" outlineLevel="0" collapsed="false">
      <c r="A1216" s="34" t="n">
        <f aca="false">A1215+1</f>
        <v>1211</v>
      </c>
      <c r="B1216" s="35" t="s">
        <v>1017</v>
      </c>
      <c r="C1216" s="35" t="str">
        <f aca="false">"0004061"</f>
        <v>0004061</v>
      </c>
      <c r="D1216" s="37" t="s">
        <v>1030</v>
      </c>
      <c r="E1216" s="35" t="n">
        <v>2004</v>
      </c>
      <c r="F1216" s="38" t="n">
        <v>33558</v>
      </c>
      <c r="G1216" s="39" t="n">
        <v>1</v>
      </c>
      <c r="H1216" s="40" t="n">
        <v>2150</v>
      </c>
    </row>
    <row r="1217" s="33" customFormat="true" ht="14.25" hidden="false" customHeight="false" outlineLevel="0" collapsed="false">
      <c r="A1217" s="34" t="n">
        <f aca="false">A1216+1</f>
        <v>1212</v>
      </c>
      <c r="B1217" s="35" t="s">
        <v>1017</v>
      </c>
      <c r="C1217" s="35" t="str">
        <f aca="false">"0004062"</f>
        <v>0004062</v>
      </c>
      <c r="D1217" s="37" t="s">
        <v>1031</v>
      </c>
      <c r="E1217" s="35" t="n">
        <v>2004</v>
      </c>
      <c r="F1217" s="38" t="n">
        <v>12920</v>
      </c>
      <c r="G1217" s="39" t="n">
        <v>1</v>
      </c>
      <c r="H1217" s="40" t="n">
        <v>830</v>
      </c>
    </row>
    <row r="1218" s="33" customFormat="true" ht="14.25" hidden="false" customHeight="false" outlineLevel="0" collapsed="false">
      <c r="A1218" s="34" t="n">
        <f aca="false">A1217+1</f>
        <v>1213</v>
      </c>
      <c r="B1218" s="35" t="s">
        <v>1017</v>
      </c>
      <c r="C1218" s="35" t="str">
        <f aca="false">"0004063"</f>
        <v>0004063</v>
      </c>
      <c r="D1218" s="37" t="s">
        <v>1032</v>
      </c>
      <c r="E1218" s="35" t="n">
        <v>2004</v>
      </c>
      <c r="F1218" s="38" t="n">
        <v>18424</v>
      </c>
      <c r="G1218" s="39" t="n">
        <v>1</v>
      </c>
      <c r="H1218" s="40" t="n">
        <v>1180</v>
      </c>
    </row>
    <row r="1219" s="33" customFormat="true" ht="14.25" hidden="false" customHeight="false" outlineLevel="0" collapsed="false">
      <c r="A1219" s="34" t="n">
        <f aca="false">A1218+1</f>
        <v>1214</v>
      </c>
      <c r="B1219" s="35" t="s">
        <v>1017</v>
      </c>
      <c r="C1219" s="35" t="str">
        <f aca="false">"0004064"</f>
        <v>0004064</v>
      </c>
      <c r="D1219" s="37" t="s">
        <v>1033</v>
      </c>
      <c r="E1219" s="35" t="n">
        <v>2004</v>
      </c>
      <c r="F1219" s="38" t="n">
        <v>10076</v>
      </c>
      <c r="G1219" s="39" t="n">
        <v>1</v>
      </c>
      <c r="H1219" s="40" t="n">
        <v>645</v>
      </c>
    </row>
    <row r="1220" s="33" customFormat="true" ht="14.25" hidden="false" customHeight="false" outlineLevel="0" collapsed="false">
      <c r="A1220" s="34" t="n">
        <f aca="false">A1219+1</f>
        <v>1215</v>
      </c>
      <c r="B1220" s="35" t="s">
        <v>1017</v>
      </c>
      <c r="C1220" s="35" t="str">
        <f aca="false">"0004065"</f>
        <v>0004065</v>
      </c>
      <c r="D1220" s="37" t="s">
        <v>1034</v>
      </c>
      <c r="E1220" s="35" t="n">
        <v>2004</v>
      </c>
      <c r="F1220" s="38" t="n">
        <v>12440</v>
      </c>
      <c r="G1220" s="39" t="n">
        <v>1</v>
      </c>
      <c r="H1220" s="40" t="n">
        <v>800</v>
      </c>
    </row>
    <row r="1221" s="33" customFormat="true" ht="14.25" hidden="false" customHeight="false" outlineLevel="0" collapsed="false">
      <c r="A1221" s="34" t="n">
        <f aca="false">A1220+1</f>
        <v>1216</v>
      </c>
      <c r="B1221" s="35" t="s">
        <v>1017</v>
      </c>
      <c r="C1221" s="35" t="str">
        <f aca="false">"0004066"</f>
        <v>0004066</v>
      </c>
      <c r="D1221" s="37" t="s">
        <v>1035</v>
      </c>
      <c r="E1221" s="35" t="n">
        <v>2004</v>
      </c>
      <c r="F1221" s="38" t="n">
        <v>13330</v>
      </c>
      <c r="G1221" s="39" t="n">
        <v>1</v>
      </c>
      <c r="H1221" s="40" t="n">
        <v>850</v>
      </c>
    </row>
    <row r="1222" s="33" customFormat="true" ht="14.25" hidden="false" customHeight="false" outlineLevel="0" collapsed="false">
      <c r="A1222" s="34" t="n">
        <f aca="false">A1221+1</f>
        <v>1217</v>
      </c>
      <c r="B1222" s="35" t="s">
        <v>1017</v>
      </c>
      <c r="C1222" s="35" t="str">
        <f aca="false">"0004067"</f>
        <v>0004067</v>
      </c>
      <c r="D1222" s="37" t="s">
        <v>1036</v>
      </c>
      <c r="E1222" s="35" t="n">
        <v>2004</v>
      </c>
      <c r="F1222" s="38" t="n">
        <v>14180</v>
      </c>
      <c r="G1222" s="39" t="n">
        <v>1</v>
      </c>
      <c r="H1222" s="40" t="n">
        <v>900</v>
      </c>
    </row>
    <row r="1223" s="33" customFormat="true" ht="14.25" hidden="false" customHeight="false" outlineLevel="0" collapsed="false">
      <c r="A1223" s="34" t="n">
        <f aca="false">A1222+1</f>
        <v>1218</v>
      </c>
      <c r="B1223" s="35" t="s">
        <v>1017</v>
      </c>
      <c r="C1223" s="35" t="str">
        <f aca="false">"0004068"</f>
        <v>0004068</v>
      </c>
      <c r="D1223" s="37" t="s">
        <v>1037</v>
      </c>
      <c r="E1223" s="35" t="n">
        <v>2004</v>
      </c>
      <c r="F1223" s="38" t="n">
        <v>14890</v>
      </c>
      <c r="G1223" s="39" t="n">
        <v>1</v>
      </c>
      <c r="H1223" s="40" t="n">
        <v>950</v>
      </c>
    </row>
    <row r="1224" s="33" customFormat="true" ht="14.25" hidden="false" customHeight="false" outlineLevel="0" collapsed="false">
      <c r="A1224" s="34" t="n">
        <f aca="false">A1223+1</f>
        <v>1219</v>
      </c>
      <c r="B1224" s="35" t="s">
        <v>1017</v>
      </c>
      <c r="C1224" s="35" t="str">
        <f aca="false">"0004069"</f>
        <v>0004069</v>
      </c>
      <c r="D1224" s="37" t="s">
        <v>1038</v>
      </c>
      <c r="E1224" s="35" t="n">
        <v>2004</v>
      </c>
      <c r="F1224" s="38" t="n">
        <v>7920</v>
      </c>
      <c r="G1224" s="39" t="n">
        <v>1</v>
      </c>
      <c r="H1224" s="40" t="n">
        <v>500</v>
      </c>
    </row>
    <row r="1225" s="33" customFormat="true" ht="14.25" hidden="false" customHeight="false" outlineLevel="0" collapsed="false">
      <c r="A1225" s="34" t="n">
        <f aca="false">A1224+1</f>
        <v>1220</v>
      </c>
      <c r="B1225" s="35" t="s">
        <v>1017</v>
      </c>
      <c r="C1225" s="35" t="str">
        <f aca="false">"0004070"</f>
        <v>0004070</v>
      </c>
      <c r="D1225" s="37" t="s">
        <v>1039</v>
      </c>
      <c r="E1225" s="35" t="n">
        <v>2004</v>
      </c>
      <c r="F1225" s="38" t="n">
        <v>12870</v>
      </c>
      <c r="G1225" s="39" t="n">
        <v>1</v>
      </c>
      <c r="H1225" s="40" t="n">
        <v>825</v>
      </c>
    </row>
    <row r="1226" s="33" customFormat="true" ht="14.25" hidden="false" customHeight="false" outlineLevel="0" collapsed="false">
      <c r="A1226" s="34" t="n">
        <f aca="false">A1225+1</f>
        <v>1221</v>
      </c>
      <c r="B1226" s="35" t="s">
        <v>1017</v>
      </c>
      <c r="C1226" s="35" t="str">
        <f aca="false">"0004071"</f>
        <v>0004071</v>
      </c>
      <c r="D1226" s="37" t="s">
        <v>1040</v>
      </c>
      <c r="E1226" s="35" t="n">
        <v>2004</v>
      </c>
      <c r="F1226" s="38" t="n">
        <v>16380</v>
      </c>
      <c r="G1226" s="39" t="n">
        <v>1</v>
      </c>
      <c r="H1226" s="40" t="n">
        <v>1050</v>
      </c>
    </row>
    <row r="1227" s="33" customFormat="true" ht="14.25" hidden="false" customHeight="false" outlineLevel="0" collapsed="false">
      <c r="A1227" s="34" t="n">
        <f aca="false">A1226+1</f>
        <v>1222</v>
      </c>
      <c r="B1227" s="35" t="s">
        <v>1017</v>
      </c>
      <c r="C1227" s="35" t="str">
        <f aca="false">"0004072"</f>
        <v>0004072</v>
      </c>
      <c r="D1227" s="37" t="s">
        <v>1041</v>
      </c>
      <c r="E1227" s="35" t="n">
        <v>2004</v>
      </c>
      <c r="F1227" s="38" t="n">
        <v>15345</v>
      </c>
      <c r="G1227" s="39" t="n">
        <v>1</v>
      </c>
      <c r="H1227" s="40" t="n">
        <v>980</v>
      </c>
    </row>
    <row r="1228" s="33" customFormat="true" ht="14.25" hidden="false" customHeight="false" outlineLevel="0" collapsed="false">
      <c r="A1228" s="34" t="n">
        <f aca="false">A1227+1</f>
        <v>1223</v>
      </c>
      <c r="B1228" s="35" t="s">
        <v>1017</v>
      </c>
      <c r="C1228" s="35" t="str">
        <f aca="false">"0004073"</f>
        <v>0004073</v>
      </c>
      <c r="D1228" s="37" t="s">
        <v>1042</v>
      </c>
      <c r="E1228" s="35" t="n">
        <v>2004</v>
      </c>
      <c r="F1228" s="38" t="n">
        <v>16065</v>
      </c>
      <c r="G1228" s="39" t="n">
        <v>1</v>
      </c>
      <c r="H1228" s="40" t="n">
        <v>1030</v>
      </c>
    </row>
    <row r="1229" s="33" customFormat="true" ht="14.25" hidden="false" customHeight="false" outlineLevel="0" collapsed="false">
      <c r="A1229" s="34" t="n">
        <f aca="false">A1228+1</f>
        <v>1224</v>
      </c>
      <c r="B1229" s="35" t="s">
        <v>1017</v>
      </c>
      <c r="C1229" s="35" t="str">
        <f aca="false">"0004074"</f>
        <v>0004074</v>
      </c>
      <c r="D1229" s="37" t="s">
        <v>1043</v>
      </c>
      <c r="E1229" s="35" t="n">
        <v>2004</v>
      </c>
      <c r="F1229" s="38" t="n">
        <v>15857</v>
      </c>
      <c r="G1229" s="39" t="n">
        <v>1</v>
      </c>
      <c r="H1229" s="40" t="n">
        <v>1015</v>
      </c>
    </row>
    <row r="1230" s="33" customFormat="true" ht="14.25" hidden="false" customHeight="false" outlineLevel="0" collapsed="false">
      <c r="A1230" s="34" t="n">
        <f aca="false">A1229+1</f>
        <v>1225</v>
      </c>
      <c r="B1230" s="35" t="s">
        <v>1017</v>
      </c>
      <c r="C1230" s="35" t="str">
        <f aca="false">"0004075"</f>
        <v>0004075</v>
      </c>
      <c r="D1230" s="37" t="s">
        <v>1044</v>
      </c>
      <c r="E1230" s="35" t="n">
        <v>2004</v>
      </c>
      <c r="F1230" s="38" t="n">
        <v>13047</v>
      </c>
      <c r="G1230" s="39" t="n">
        <v>1</v>
      </c>
      <c r="H1230" s="40" t="n">
        <v>835</v>
      </c>
    </row>
    <row r="1231" s="33" customFormat="true" ht="14.25" hidden="false" customHeight="false" outlineLevel="0" collapsed="false">
      <c r="A1231" s="34" t="n">
        <f aca="false">A1230+1</f>
        <v>1226</v>
      </c>
      <c r="B1231" s="35" t="s">
        <v>1017</v>
      </c>
      <c r="C1231" s="35" t="str">
        <f aca="false">"0004076"</f>
        <v>0004076</v>
      </c>
      <c r="D1231" s="37" t="s">
        <v>1045</v>
      </c>
      <c r="E1231" s="35" t="n">
        <v>2004</v>
      </c>
      <c r="F1231" s="38" t="n">
        <v>11176</v>
      </c>
      <c r="G1231" s="39" t="n">
        <v>1</v>
      </c>
      <c r="H1231" s="40" t="n">
        <v>715</v>
      </c>
    </row>
    <row r="1232" s="33" customFormat="true" ht="14.25" hidden="false" customHeight="false" outlineLevel="0" collapsed="false">
      <c r="A1232" s="34" t="n">
        <f aca="false">A1231+1</f>
        <v>1227</v>
      </c>
      <c r="B1232" s="35" t="s">
        <v>1017</v>
      </c>
      <c r="C1232" s="35" t="str">
        <f aca="false">"0004077"</f>
        <v>0004077</v>
      </c>
      <c r="D1232" s="37" t="s">
        <v>1046</v>
      </c>
      <c r="E1232" s="35" t="n">
        <v>2004</v>
      </c>
      <c r="F1232" s="38" t="n">
        <v>12191</v>
      </c>
      <c r="G1232" s="39" t="n">
        <v>1</v>
      </c>
      <c r="H1232" s="40" t="n">
        <v>780</v>
      </c>
    </row>
    <row r="1233" s="33" customFormat="true" ht="14.25" hidden="false" customHeight="false" outlineLevel="0" collapsed="false">
      <c r="A1233" s="34" t="n">
        <f aca="false">A1232+1</f>
        <v>1228</v>
      </c>
      <c r="B1233" s="35" t="s">
        <v>1017</v>
      </c>
      <c r="C1233" s="35" t="str">
        <f aca="false">"0004078"</f>
        <v>0004078</v>
      </c>
      <c r="D1233" s="37" t="s">
        <v>1047</v>
      </c>
      <c r="E1233" s="35" t="n">
        <v>2004</v>
      </c>
      <c r="F1233" s="38" t="n">
        <v>13100</v>
      </c>
      <c r="G1233" s="39" t="n">
        <v>1</v>
      </c>
      <c r="H1233" s="40" t="n">
        <v>840</v>
      </c>
    </row>
    <row r="1234" s="33" customFormat="true" ht="14.25" hidden="false" customHeight="false" outlineLevel="0" collapsed="false">
      <c r="A1234" s="34" t="n">
        <f aca="false">A1233+1</f>
        <v>1229</v>
      </c>
      <c r="B1234" s="35" t="s">
        <v>1017</v>
      </c>
      <c r="C1234" s="35" t="str">
        <f aca="false">"0004079"</f>
        <v>0004079</v>
      </c>
      <c r="D1234" s="37" t="s">
        <v>1048</v>
      </c>
      <c r="E1234" s="35" t="n">
        <v>2004</v>
      </c>
      <c r="F1234" s="38" t="n">
        <v>16190</v>
      </c>
      <c r="G1234" s="39" t="n">
        <v>1</v>
      </c>
      <c r="H1234" s="40" t="n">
        <v>1040</v>
      </c>
    </row>
    <row r="1235" s="33" customFormat="true" ht="14.25" hidden="false" customHeight="false" outlineLevel="0" collapsed="false">
      <c r="A1235" s="34" t="n">
        <f aca="false">A1234+1</f>
        <v>1230</v>
      </c>
      <c r="B1235" s="35" t="s">
        <v>1017</v>
      </c>
      <c r="C1235" s="35" t="str">
        <f aca="false">"0004080"</f>
        <v>0004080</v>
      </c>
      <c r="D1235" s="37" t="s">
        <v>1049</v>
      </c>
      <c r="E1235" s="35" t="n">
        <v>2004</v>
      </c>
      <c r="F1235" s="38" t="n">
        <v>13800</v>
      </c>
      <c r="G1235" s="39" t="n">
        <v>1</v>
      </c>
      <c r="H1235" s="40" t="n">
        <v>880</v>
      </c>
    </row>
    <row r="1236" s="33" customFormat="true" ht="14.25" hidden="false" customHeight="false" outlineLevel="0" collapsed="false">
      <c r="A1236" s="34" t="n">
        <f aca="false">A1235+1</f>
        <v>1231</v>
      </c>
      <c r="B1236" s="35" t="s">
        <v>1017</v>
      </c>
      <c r="C1236" s="35" t="str">
        <f aca="false">"0004081"</f>
        <v>0004081</v>
      </c>
      <c r="D1236" s="37" t="s">
        <v>1050</v>
      </c>
      <c r="E1236" s="35" t="n">
        <v>2004</v>
      </c>
      <c r="F1236" s="38" t="n">
        <v>8000</v>
      </c>
      <c r="G1236" s="39" t="n">
        <v>1</v>
      </c>
      <c r="H1236" s="40" t="n">
        <v>510</v>
      </c>
    </row>
    <row r="1237" s="33" customFormat="true" ht="14.25" hidden="false" customHeight="false" outlineLevel="0" collapsed="false">
      <c r="A1237" s="34" t="n">
        <f aca="false">A1236+1</f>
        <v>1232</v>
      </c>
      <c r="B1237" s="35" t="s">
        <v>1017</v>
      </c>
      <c r="C1237" s="35" t="str">
        <f aca="false">"0004082"</f>
        <v>0004082</v>
      </c>
      <c r="D1237" s="37" t="s">
        <v>1051</v>
      </c>
      <c r="E1237" s="35" t="n">
        <v>2004</v>
      </c>
      <c r="F1237" s="38" t="n">
        <v>9200</v>
      </c>
      <c r="G1237" s="39" t="n">
        <v>1</v>
      </c>
      <c r="H1237" s="40" t="n">
        <v>590</v>
      </c>
    </row>
    <row r="1238" s="33" customFormat="true" ht="14.25" hidden="false" customHeight="false" outlineLevel="0" collapsed="false">
      <c r="A1238" s="34" t="n">
        <f aca="false">A1237+1</f>
        <v>1233</v>
      </c>
      <c r="B1238" s="35" t="s">
        <v>1017</v>
      </c>
      <c r="C1238" s="35" t="str">
        <f aca="false">"0004083"</f>
        <v>0004083</v>
      </c>
      <c r="D1238" s="37" t="s">
        <v>1052</v>
      </c>
      <c r="E1238" s="35" t="n">
        <v>2004</v>
      </c>
      <c r="F1238" s="38" t="n">
        <v>10900</v>
      </c>
      <c r="G1238" s="39" t="n">
        <v>1</v>
      </c>
      <c r="H1238" s="40" t="n">
        <v>700</v>
      </c>
    </row>
    <row r="1239" s="33" customFormat="true" ht="14.25" hidden="false" customHeight="false" outlineLevel="0" collapsed="false">
      <c r="A1239" s="34" t="n">
        <f aca="false">A1238+1</f>
        <v>1234</v>
      </c>
      <c r="B1239" s="35" t="s">
        <v>1017</v>
      </c>
      <c r="C1239" s="35" t="str">
        <f aca="false">"0004084"</f>
        <v>0004084</v>
      </c>
      <c r="D1239" s="37" t="s">
        <v>1053</v>
      </c>
      <c r="E1239" s="35" t="n">
        <v>2004</v>
      </c>
      <c r="F1239" s="38" t="n">
        <v>12580</v>
      </c>
      <c r="G1239" s="39" t="n">
        <v>1</v>
      </c>
      <c r="H1239" s="40" t="n">
        <v>805</v>
      </c>
    </row>
    <row r="1240" s="33" customFormat="true" ht="14.25" hidden="false" customHeight="false" outlineLevel="0" collapsed="false">
      <c r="A1240" s="34" t="n">
        <f aca="false">A1239+1</f>
        <v>1235</v>
      </c>
      <c r="B1240" s="35" t="s">
        <v>1017</v>
      </c>
      <c r="C1240" s="35" t="str">
        <f aca="false">"0004085"</f>
        <v>0004085</v>
      </c>
      <c r="D1240" s="37" t="s">
        <v>1054</v>
      </c>
      <c r="E1240" s="35" t="n">
        <v>2004</v>
      </c>
      <c r="F1240" s="38" t="n">
        <v>12220</v>
      </c>
      <c r="G1240" s="39" t="n">
        <v>1</v>
      </c>
      <c r="H1240" s="40" t="n">
        <v>780</v>
      </c>
    </row>
    <row r="1241" s="33" customFormat="true" ht="14.25" hidden="false" customHeight="false" outlineLevel="0" collapsed="false">
      <c r="A1241" s="34" t="n">
        <f aca="false">A1240+1</f>
        <v>1236</v>
      </c>
      <c r="B1241" s="35" t="s">
        <v>1017</v>
      </c>
      <c r="C1241" s="35" t="str">
        <f aca="false">"0004086"</f>
        <v>0004086</v>
      </c>
      <c r="D1241" s="37" t="s">
        <v>1055</v>
      </c>
      <c r="E1241" s="35" t="n">
        <v>2004</v>
      </c>
      <c r="F1241" s="38" t="n">
        <v>9500</v>
      </c>
      <c r="G1241" s="39" t="n">
        <v>1</v>
      </c>
      <c r="H1241" s="40" t="n">
        <v>610</v>
      </c>
    </row>
    <row r="1242" s="33" customFormat="true" ht="14.25" hidden="false" customHeight="false" outlineLevel="0" collapsed="false">
      <c r="A1242" s="34" t="n">
        <f aca="false">A1241+1</f>
        <v>1237</v>
      </c>
      <c r="B1242" s="35" t="s">
        <v>1017</v>
      </c>
      <c r="C1242" s="35" t="str">
        <f aca="false">"0004087"</f>
        <v>0004087</v>
      </c>
      <c r="D1242" s="37" t="s">
        <v>1056</v>
      </c>
      <c r="E1242" s="35" t="n">
        <v>2004</v>
      </c>
      <c r="F1242" s="38" t="n">
        <v>9500</v>
      </c>
      <c r="G1242" s="39" t="n">
        <v>1</v>
      </c>
      <c r="H1242" s="40" t="n">
        <v>610</v>
      </c>
    </row>
    <row r="1243" s="33" customFormat="true" ht="14.25" hidden="false" customHeight="false" outlineLevel="0" collapsed="false">
      <c r="A1243" s="34" t="n">
        <f aca="false">A1242+1</f>
        <v>1238</v>
      </c>
      <c r="B1243" s="35" t="s">
        <v>1017</v>
      </c>
      <c r="C1243" s="35" t="str">
        <f aca="false">"0004088"</f>
        <v>0004088</v>
      </c>
      <c r="D1243" s="37" t="s">
        <v>1057</v>
      </c>
      <c r="E1243" s="35" t="n">
        <v>2004</v>
      </c>
      <c r="F1243" s="38" t="n">
        <v>16700</v>
      </c>
      <c r="G1243" s="39" t="n">
        <v>1</v>
      </c>
      <c r="H1243" s="40" t="n">
        <v>1070</v>
      </c>
    </row>
    <row r="1244" s="33" customFormat="true" ht="14.25" hidden="false" customHeight="false" outlineLevel="0" collapsed="false">
      <c r="A1244" s="34" t="n">
        <f aca="false">A1243+1</f>
        <v>1239</v>
      </c>
      <c r="B1244" s="35" t="s">
        <v>1017</v>
      </c>
      <c r="C1244" s="35" t="str">
        <f aca="false">"0004089"</f>
        <v>0004089</v>
      </c>
      <c r="D1244" s="37" t="s">
        <v>1058</v>
      </c>
      <c r="E1244" s="35" t="n">
        <v>2004</v>
      </c>
      <c r="F1244" s="38" t="n">
        <v>20100</v>
      </c>
      <c r="G1244" s="39" t="n">
        <v>1</v>
      </c>
      <c r="H1244" s="40" t="n">
        <v>1300</v>
      </c>
    </row>
    <row r="1245" s="33" customFormat="true" ht="14.25" hidden="false" customHeight="false" outlineLevel="0" collapsed="false">
      <c r="A1245" s="34" t="n">
        <f aca="false">A1244+1</f>
        <v>1240</v>
      </c>
      <c r="B1245" s="35" t="s">
        <v>1017</v>
      </c>
      <c r="C1245" s="35" t="str">
        <f aca="false">"0004090"</f>
        <v>0004090</v>
      </c>
      <c r="D1245" s="37" t="s">
        <v>1059</v>
      </c>
      <c r="E1245" s="35" t="n">
        <v>2004</v>
      </c>
      <c r="F1245" s="38" t="n">
        <v>12630</v>
      </c>
      <c r="G1245" s="39" t="n">
        <v>1</v>
      </c>
      <c r="H1245" s="40" t="n">
        <v>810</v>
      </c>
    </row>
    <row r="1246" s="33" customFormat="true" ht="14.25" hidden="false" customHeight="false" outlineLevel="0" collapsed="false">
      <c r="A1246" s="34" t="n">
        <f aca="false">A1245+1</f>
        <v>1241</v>
      </c>
      <c r="B1246" s="35" t="s">
        <v>1017</v>
      </c>
      <c r="C1246" s="35" t="str">
        <f aca="false">"0004091"</f>
        <v>0004091</v>
      </c>
      <c r="D1246" s="37" t="s">
        <v>1060</v>
      </c>
      <c r="E1246" s="35" t="n">
        <v>2004</v>
      </c>
      <c r="F1246" s="38" t="n">
        <v>17820</v>
      </c>
      <c r="G1246" s="39" t="n">
        <v>1</v>
      </c>
      <c r="H1246" s="40" t="n">
        <v>1140</v>
      </c>
    </row>
    <row r="1247" s="33" customFormat="true" ht="14.25" hidden="false" customHeight="false" outlineLevel="0" collapsed="false">
      <c r="A1247" s="34" t="n">
        <f aca="false">A1246+1</f>
        <v>1242</v>
      </c>
      <c r="B1247" s="35" t="s">
        <v>1017</v>
      </c>
      <c r="C1247" s="35" t="str">
        <f aca="false">"0004092"</f>
        <v>0004092</v>
      </c>
      <c r="D1247" s="37" t="s">
        <v>1061</v>
      </c>
      <c r="E1247" s="35" t="n">
        <v>2004</v>
      </c>
      <c r="F1247" s="38" t="n">
        <v>12800</v>
      </c>
      <c r="G1247" s="39" t="n">
        <v>1</v>
      </c>
      <c r="H1247" s="40" t="n">
        <v>820</v>
      </c>
    </row>
    <row r="1248" s="33" customFormat="true" ht="14.25" hidden="false" customHeight="false" outlineLevel="0" collapsed="false">
      <c r="A1248" s="34" t="n">
        <f aca="false">A1247+1</f>
        <v>1243</v>
      </c>
      <c r="B1248" s="35" t="s">
        <v>1017</v>
      </c>
      <c r="C1248" s="35" t="str">
        <f aca="false">"0004093"</f>
        <v>0004093</v>
      </c>
      <c r="D1248" s="37" t="s">
        <v>1062</v>
      </c>
      <c r="E1248" s="35" t="n">
        <v>2004</v>
      </c>
      <c r="F1248" s="38" t="n">
        <v>20900</v>
      </c>
      <c r="G1248" s="39" t="n">
        <v>1</v>
      </c>
      <c r="H1248" s="40" t="n">
        <v>1340</v>
      </c>
    </row>
    <row r="1249" s="33" customFormat="true" ht="14.25" hidden="false" customHeight="false" outlineLevel="0" collapsed="false">
      <c r="A1249" s="34" t="n">
        <f aca="false">A1248+1</f>
        <v>1244</v>
      </c>
      <c r="B1249" s="35" t="s">
        <v>1017</v>
      </c>
      <c r="C1249" s="35" t="str">
        <f aca="false">"0004094"</f>
        <v>0004094</v>
      </c>
      <c r="D1249" s="37" t="s">
        <v>1063</v>
      </c>
      <c r="E1249" s="35" t="n">
        <v>2004</v>
      </c>
      <c r="F1249" s="38" t="n">
        <v>15857</v>
      </c>
      <c r="G1249" s="39" t="n">
        <v>1</v>
      </c>
      <c r="H1249" s="40" t="n">
        <v>1015</v>
      </c>
    </row>
    <row r="1250" s="33" customFormat="true" ht="14.25" hidden="false" customHeight="false" outlineLevel="0" collapsed="false">
      <c r="A1250" s="34" t="n">
        <f aca="false">A1249+1</f>
        <v>1245</v>
      </c>
      <c r="B1250" s="35" t="s">
        <v>1017</v>
      </c>
      <c r="C1250" s="35" t="str">
        <f aca="false">"0004095"</f>
        <v>0004095</v>
      </c>
      <c r="D1250" s="37" t="s">
        <v>1064</v>
      </c>
      <c r="E1250" s="35" t="n">
        <v>2004</v>
      </c>
      <c r="F1250" s="38" t="n">
        <v>22900</v>
      </c>
      <c r="G1250" s="39" t="n">
        <v>1</v>
      </c>
      <c r="H1250" s="40" t="n">
        <v>1470</v>
      </c>
    </row>
    <row r="1251" s="33" customFormat="true" ht="14.25" hidden="false" customHeight="false" outlineLevel="0" collapsed="false">
      <c r="A1251" s="34" t="n">
        <f aca="false">A1250+1</f>
        <v>1246</v>
      </c>
      <c r="B1251" s="35" t="s">
        <v>1017</v>
      </c>
      <c r="C1251" s="35" t="str">
        <f aca="false">"0004096"</f>
        <v>0004096</v>
      </c>
      <c r="D1251" s="37" t="s">
        <v>1065</v>
      </c>
      <c r="E1251" s="35" t="n">
        <v>2004</v>
      </c>
      <c r="F1251" s="38" t="n">
        <v>10800</v>
      </c>
      <c r="G1251" s="39" t="n">
        <v>1</v>
      </c>
      <c r="H1251" s="40" t="n">
        <v>690</v>
      </c>
    </row>
    <row r="1252" s="33" customFormat="true" ht="14.25" hidden="false" customHeight="false" outlineLevel="0" collapsed="false">
      <c r="A1252" s="34" t="n">
        <f aca="false">A1251+1</f>
        <v>1247</v>
      </c>
      <c r="B1252" s="35" t="s">
        <v>1017</v>
      </c>
      <c r="C1252" s="35" t="str">
        <f aca="false">"0004097"</f>
        <v>0004097</v>
      </c>
      <c r="D1252" s="37" t="s">
        <v>1066</v>
      </c>
      <c r="E1252" s="35" t="n">
        <v>2004</v>
      </c>
      <c r="F1252" s="38" t="n">
        <v>13100</v>
      </c>
      <c r="G1252" s="39" t="n">
        <v>1</v>
      </c>
      <c r="H1252" s="40" t="n">
        <v>840</v>
      </c>
    </row>
    <row r="1253" s="33" customFormat="true" ht="14.25" hidden="false" customHeight="false" outlineLevel="0" collapsed="false">
      <c r="A1253" s="34" t="n">
        <f aca="false">A1252+1</f>
        <v>1248</v>
      </c>
      <c r="B1253" s="35" t="s">
        <v>1017</v>
      </c>
      <c r="C1253" s="35" t="str">
        <f aca="false">"0004098"</f>
        <v>0004098</v>
      </c>
      <c r="D1253" s="37" t="s">
        <v>1067</v>
      </c>
      <c r="E1253" s="35" t="n">
        <v>2004</v>
      </c>
      <c r="F1253" s="38" t="n">
        <v>10400</v>
      </c>
      <c r="G1253" s="39" t="n">
        <v>1</v>
      </c>
      <c r="H1253" s="40" t="n">
        <v>665</v>
      </c>
    </row>
    <row r="1254" s="33" customFormat="true" ht="14.25" hidden="false" customHeight="false" outlineLevel="0" collapsed="false">
      <c r="A1254" s="34" t="n">
        <f aca="false">A1253+1</f>
        <v>1249</v>
      </c>
      <c r="B1254" s="35" t="s">
        <v>1017</v>
      </c>
      <c r="C1254" s="35" t="str">
        <f aca="false">"0004099"</f>
        <v>0004099</v>
      </c>
      <c r="D1254" s="37" t="s">
        <v>1068</v>
      </c>
      <c r="E1254" s="35" t="n">
        <v>2004</v>
      </c>
      <c r="F1254" s="38" t="n">
        <v>10400</v>
      </c>
      <c r="G1254" s="39" t="n">
        <v>1</v>
      </c>
      <c r="H1254" s="40" t="n">
        <v>665</v>
      </c>
    </row>
    <row r="1255" s="33" customFormat="true" ht="14.25" hidden="false" customHeight="false" outlineLevel="0" collapsed="false">
      <c r="A1255" s="34" t="n">
        <f aca="false">A1254+1</f>
        <v>1250</v>
      </c>
      <c r="B1255" s="35" t="s">
        <v>1017</v>
      </c>
      <c r="C1255" s="35" t="str">
        <f aca="false">"0004100"</f>
        <v>0004100</v>
      </c>
      <c r="D1255" s="37" t="s">
        <v>1069</v>
      </c>
      <c r="E1255" s="35" t="n">
        <v>2004</v>
      </c>
      <c r="F1255" s="38" t="n">
        <v>23250</v>
      </c>
      <c r="G1255" s="39" t="n">
        <v>1</v>
      </c>
      <c r="H1255" s="40" t="n">
        <v>1500</v>
      </c>
    </row>
    <row r="1256" s="33" customFormat="true" ht="14.25" hidden="false" customHeight="false" outlineLevel="0" collapsed="false">
      <c r="A1256" s="34" t="n">
        <f aca="false">A1255+1</f>
        <v>1251</v>
      </c>
      <c r="B1256" s="35" t="s">
        <v>1017</v>
      </c>
      <c r="C1256" s="35" t="str">
        <f aca="false">"0004101"</f>
        <v>0004101</v>
      </c>
      <c r="D1256" s="37" t="s">
        <v>1070</v>
      </c>
      <c r="E1256" s="35" t="n">
        <v>2004</v>
      </c>
      <c r="F1256" s="38" t="n">
        <v>16700</v>
      </c>
      <c r="G1256" s="39" t="n">
        <v>1</v>
      </c>
      <c r="H1256" s="40" t="n">
        <v>1070</v>
      </c>
    </row>
    <row r="1257" s="33" customFormat="true" ht="14.25" hidden="false" customHeight="false" outlineLevel="0" collapsed="false">
      <c r="A1257" s="34" t="n">
        <f aca="false">A1256+1</f>
        <v>1252</v>
      </c>
      <c r="B1257" s="35" t="s">
        <v>1017</v>
      </c>
      <c r="C1257" s="35" t="str">
        <f aca="false">"0004102"</f>
        <v>0004102</v>
      </c>
      <c r="D1257" s="37" t="s">
        <v>1071</v>
      </c>
      <c r="E1257" s="35" t="n">
        <v>2004</v>
      </c>
      <c r="F1257" s="38" t="n">
        <v>27600</v>
      </c>
      <c r="G1257" s="39" t="n">
        <v>1</v>
      </c>
      <c r="H1257" s="40" t="n">
        <v>1770</v>
      </c>
    </row>
    <row r="1258" s="33" customFormat="true" ht="14.25" hidden="false" customHeight="false" outlineLevel="0" collapsed="false">
      <c r="A1258" s="34" t="n">
        <f aca="false">A1257+1</f>
        <v>1253</v>
      </c>
      <c r="B1258" s="35" t="s">
        <v>1017</v>
      </c>
      <c r="C1258" s="35" t="str">
        <f aca="false">"0004103"</f>
        <v>0004103</v>
      </c>
      <c r="D1258" s="37" t="s">
        <v>1072</v>
      </c>
      <c r="E1258" s="35" t="n">
        <v>2004</v>
      </c>
      <c r="F1258" s="38" t="n">
        <v>9400</v>
      </c>
      <c r="G1258" s="39" t="n">
        <v>1</v>
      </c>
      <c r="H1258" s="40" t="n">
        <v>600</v>
      </c>
    </row>
    <row r="1259" s="33" customFormat="true" ht="14.25" hidden="false" customHeight="false" outlineLevel="0" collapsed="false">
      <c r="A1259" s="34" t="n">
        <f aca="false">A1258+1</f>
        <v>1254</v>
      </c>
      <c r="B1259" s="35" t="s">
        <v>1017</v>
      </c>
      <c r="C1259" s="35" t="str">
        <f aca="false">"0004104"</f>
        <v>0004104</v>
      </c>
      <c r="D1259" s="37" t="s">
        <v>1073</v>
      </c>
      <c r="E1259" s="35" t="n">
        <v>2004</v>
      </c>
      <c r="F1259" s="38" t="n">
        <v>7400</v>
      </c>
      <c r="G1259" s="39" t="n">
        <v>1</v>
      </c>
      <c r="H1259" s="40" t="n">
        <v>475</v>
      </c>
    </row>
    <row r="1260" s="33" customFormat="true" ht="14.25" hidden="false" customHeight="false" outlineLevel="0" collapsed="false">
      <c r="A1260" s="34" t="n">
        <f aca="false">A1259+1</f>
        <v>1255</v>
      </c>
      <c r="B1260" s="35" t="s">
        <v>1017</v>
      </c>
      <c r="C1260" s="35" t="str">
        <f aca="false">"0004105"</f>
        <v>0004105</v>
      </c>
      <c r="D1260" s="37" t="s">
        <v>1074</v>
      </c>
      <c r="E1260" s="35" t="n">
        <v>2004</v>
      </c>
      <c r="F1260" s="38" t="n">
        <v>11947</v>
      </c>
      <c r="G1260" s="39" t="n">
        <v>1</v>
      </c>
      <c r="H1260" s="40" t="n">
        <v>765</v>
      </c>
    </row>
    <row r="1261" s="33" customFormat="true" ht="14.25" hidden="false" customHeight="false" outlineLevel="0" collapsed="false">
      <c r="A1261" s="34" t="n">
        <f aca="false">A1260+1</f>
        <v>1256</v>
      </c>
      <c r="B1261" s="35" t="s">
        <v>1017</v>
      </c>
      <c r="C1261" s="35" t="str">
        <f aca="false">"0004106"</f>
        <v>0004106</v>
      </c>
      <c r="D1261" s="37" t="s">
        <v>1075</v>
      </c>
      <c r="E1261" s="35" t="n">
        <v>2004</v>
      </c>
      <c r="F1261" s="38" t="n">
        <v>22700</v>
      </c>
      <c r="G1261" s="39" t="n">
        <v>1</v>
      </c>
      <c r="H1261" s="40" t="n">
        <v>1450</v>
      </c>
    </row>
    <row r="1262" s="33" customFormat="true" ht="14.25" hidden="false" customHeight="false" outlineLevel="0" collapsed="false">
      <c r="A1262" s="34" t="n">
        <f aca="false">A1261+1</f>
        <v>1257</v>
      </c>
      <c r="B1262" s="35" t="s">
        <v>1017</v>
      </c>
      <c r="C1262" s="35" t="str">
        <f aca="false">"0004257"</f>
        <v>0004257</v>
      </c>
      <c r="D1262" s="37" t="s">
        <v>1076</v>
      </c>
      <c r="E1262" s="35" t="n">
        <v>2004</v>
      </c>
      <c r="F1262" s="38" t="n">
        <v>12065</v>
      </c>
      <c r="G1262" s="39" t="n">
        <v>1</v>
      </c>
      <c r="H1262" s="40" t="n">
        <v>1000</v>
      </c>
    </row>
    <row r="1263" s="33" customFormat="true" ht="14.25" hidden="false" customHeight="false" outlineLevel="0" collapsed="false">
      <c r="A1263" s="34" t="n">
        <f aca="false">A1262+1</f>
        <v>1258</v>
      </c>
      <c r="B1263" s="35" t="s">
        <v>1017</v>
      </c>
      <c r="C1263" s="35" t="str">
        <f aca="false">"0004258"</f>
        <v>0004258</v>
      </c>
      <c r="D1263" s="37" t="s">
        <v>1077</v>
      </c>
      <c r="E1263" s="35" t="n">
        <v>2004</v>
      </c>
      <c r="F1263" s="38" t="n">
        <v>15761</v>
      </c>
      <c r="G1263" s="39" t="n">
        <v>1</v>
      </c>
      <c r="H1263" s="40" t="n">
        <v>1310</v>
      </c>
    </row>
    <row r="1264" s="33" customFormat="true" ht="14.25" hidden="false" customHeight="false" outlineLevel="0" collapsed="false">
      <c r="A1264" s="34" t="n">
        <f aca="false">A1263+1</f>
        <v>1259</v>
      </c>
      <c r="B1264" s="35" t="s">
        <v>1017</v>
      </c>
      <c r="C1264" s="35" t="str">
        <f aca="false">"0004259"</f>
        <v>0004259</v>
      </c>
      <c r="D1264" s="37" t="s">
        <v>1078</v>
      </c>
      <c r="E1264" s="35" t="n">
        <v>2004</v>
      </c>
      <c r="F1264" s="38" t="n">
        <v>18193</v>
      </c>
      <c r="G1264" s="39" t="n">
        <v>1</v>
      </c>
      <c r="H1264" s="40" t="n">
        <v>1515</v>
      </c>
    </row>
    <row r="1265" s="33" customFormat="true" ht="14.25" hidden="false" customHeight="false" outlineLevel="0" collapsed="false">
      <c r="A1265" s="34" t="n">
        <f aca="false">A1264+1</f>
        <v>1260</v>
      </c>
      <c r="B1265" s="35" t="s">
        <v>1017</v>
      </c>
      <c r="C1265" s="35" t="str">
        <f aca="false">"0004260"</f>
        <v>0004260</v>
      </c>
      <c r="D1265" s="37" t="s">
        <v>1079</v>
      </c>
      <c r="E1265" s="35" t="n">
        <v>2004</v>
      </c>
      <c r="F1265" s="38" t="n">
        <v>12075</v>
      </c>
      <c r="G1265" s="39" t="n">
        <v>1</v>
      </c>
      <c r="H1265" s="40" t="n">
        <v>1005</v>
      </c>
    </row>
    <row r="1266" s="33" customFormat="true" ht="14.25" hidden="false" customHeight="false" outlineLevel="0" collapsed="false">
      <c r="A1266" s="34" t="n">
        <f aca="false">A1265+1</f>
        <v>1261</v>
      </c>
      <c r="B1266" s="35" t="s">
        <v>1017</v>
      </c>
      <c r="C1266" s="35" t="str">
        <f aca="false">"0004261"</f>
        <v>0004261</v>
      </c>
      <c r="D1266" s="37" t="s">
        <v>1080</v>
      </c>
      <c r="E1266" s="35" t="n">
        <v>2004</v>
      </c>
      <c r="F1266" s="38" t="n">
        <v>21565</v>
      </c>
      <c r="G1266" s="39" t="n">
        <v>1</v>
      </c>
      <c r="H1266" s="40" t="n">
        <v>1790</v>
      </c>
    </row>
    <row r="1267" s="33" customFormat="true" ht="14.25" hidden="false" customHeight="false" outlineLevel="0" collapsed="false">
      <c r="A1267" s="34" t="n">
        <f aca="false">A1266+1</f>
        <v>1262</v>
      </c>
      <c r="B1267" s="35" t="s">
        <v>1017</v>
      </c>
      <c r="C1267" s="35" t="str">
        <f aca="false">"0004340"</f>
        <v>0004340</v>
      </c>
      <c r="D1267" s="37" t="s">
        <v>1081</v>
      </c>
      <c r="E1267" s="35" t="n">
        <v>2004</v>
      </c>
      <c r="F1267" s="38" t="n">
        <v>4995.5</v>
      </c>
      <c r="G1267" s="39" t="n">
        <v>1</v>
      </c>
      <c r="H1267" s="40" t="n">
        <v>415</v>
      </c>
    </row>
    <row r="1268" s="33" customFormat="true" ht="14.25" hidden="false" customHeight="false" outlineLevel="0" collapsed="false">
      <c r="A1268" s="34" t="n">
        <f aca="false">A1267+1</f>
        <v>1263</v>
      </c>
      <c r="B1268" s="35" t="s">
        <v>1017</v>
      </c>
      <c r="C1268" s="35" t="str">
        <f aca="false">"0004341"</f>
        <v>0004341</v>
      </c>
      <c r="D1268" s="37" t="s">
        <v>1082</v>
      </c>
      <c r="E1268" s="35" t="n">
        <v>2004</v>
      </c>
      <c r="F1268" s="38" t="n">
        <v>24024</v>
      </c>
      <c r="G1268" s="39" t="n">
        <v>1</v>
      </c>
      <c r="H1268" s="40" t="n">
        <v>2000</v>
      </c>
    </row>
    <row r="1269" s="33" customFormat="true" ht="14.25" hidden="false" customHeight="false" outlineLevel="0" collapsed="false">
      <c r="A1269" s="34" t="n">
        <f aca="false">A1268+1</f>
        <v>1264</v>
      </c>
      <c r="B1269" s="35" t="s">
        <v>1017</v>
      </c>
      <c r="C1269" s="35" t="str">
        <f aca="false">"0004342"</f>
        <v>0004342</v>
      </c>
      <c r="D1269" s="37" t="s">
        <v>1083</v>
      </c>
      <c r="E1269" s="35" t="n">
        <v>2004</v>
      </c>
      <c r="F1269" s="38" t="n">
        <v>7036</v>
      </c>
      <c r="G1269" s="39" t="n">
        <v>1</v>
      </c>
      <c r="H1269" s="40" t="n">
        <v>585</v>
      </c>
    </row>
    <row r="1270" s="33" customFormat="true" ht="14.25" hidden="false" customHeight="false" outlineLevel="0" collapsed="false">
      <c r="A1270" s="34" t="n">
        <f aca="false">A1269+1</f>
        <v>1265</v>
      </c>
      <c r="B1270" s="35" t="s">
        <v>1017</v>
      </c>
      <c r="C1270" s="35" t="str">
        <f aca="false">"0004343"</f>
        <v>0004343</v>
      </c>
      <c r="D1270" s="37" t="s">
        <v>1084</v>
      </c>
      <c r="E1270" s="35" t="n">
        <v>2004</v>
      </c>
      <c r="F1270" s="38" t="n">
        <v>8236.8</v>
      </c>
      <c r="G1270" s="39" t="n">
        <v>1</v>
      </c>
      <c r="H1270" s="40" t="n">
        <v>685</v>
      </c>
    </row>
    <row r="1271" s="33" customFormat="true" ht="14.25" hidden="false" customHeight="false" outlineLevel="0" collapsed="false">
      <c r="A1271" s="34" t="n">
        <f aca="false">A1270+1</f>
        <v>1266</v>
      </c>
      <c r="B1271" s="35" t="s">
        <v>1017</v>
      </c>
      <c r="C1271" s="35" t="str">
        <f aca="false">"0004344"</f>
        <v>0004344</v>
      </c>
      <c r="D1271" s="37" t="s">
        <v>1085</v>
      </c>
      <c r="E1271" s="35" t="n">
        <v>2004</v>
      </c>
      <c r="F1271" s="38" t="n">
        <v>9438</v>
      </c>
      <c r="G1271" s="39" t="n">
        <v>1</v>
      </c>
      <c r="H1271" s="40" t="n">
        <v>785</v>
      </c>
    </row>
    <row r="1272" s="33" customFormat="true" ht="14.25" hidden="false" customHeight="false" outlineLevel="0" collapsed="false">
      <c r="A1272" s="34" t="n">
        <f aca="false">A1271+1</f>
        <v>1267</v>
      </c>
      <c r="B1272" s="35" t="s">
        <v>1017</v>
      </c>
      <c r="C1272" s="35" t="str">
        <f aca="false">"0004574"</f>
        <v>0004574</v>
      </c>
      <c r="D1272" s="37" t="s">
        <v>1086</v>
      </c>
      <c r="E1272" s="35" t="n">
        <v>2004</v>
      </c>
      <c r="F1272" s="38" t="n">
        <v>58339</v>
      </c>
      <c r="G1272" s="39" t="n">
        <v>2</v>
      </c>
      <c r="H1272" s="40" t="n">
        <v>7470</v>
      </c>
    </row>
    <row r="1273" s="33" customFormat="true" ht="14.25" hidden="false" customHeight="false" outlineLevel="0" collapsed="false">
      <c r="A1273" s="34" t="n">
        <f aca="false">A1272+1</f>
        <v>1268</v>
      </c>
      <c r="B1273" s="35" t="s">
        <v>1017</v>
      </c>
      <c r="C1273" s="35" t="str">
        <f aca="false">"0040974"</f>
        <v>0040974</v>
      </c>
      <c r="D1273" s="37" t="s">
        <v>1087</v>
      </c>
      <c r="E1273" s="35" t="n">
        <v>2010</v>
      </c>
      <c r="F1273" s="38" t="n">
        <v>68033</v>
      </c>
      <c r="G1273" s="39" t="n">
        <v>1</v>
      </c>
      <c r="H1273" s="40" t="n">
        <v>8325</v>
      </c>
    </row>
    <row r="1274" s="33" customFormat="true" ht="14.25" hidden="false" customHeight="false" outlineLevel="0" collapsed="false">
      <c r="A1274" s="34" t="n">
        <f aca="false">A1273+1</f>
        <v>1269</v>
      </c>
      <c r="B1274" s="35" t="s">
        <v>1017</v>
      </c>
      <c r="C1274" s="35" t="str">
        <f aca="false">"0040975"</f>
        <v>0040975</v>
      </c>
      <c r="D1274" s="37" t="s">
        <v>1088</v>
      </c>
      <c r="E1274" s="35" t="n">
        <v>2010</v>
      </c>
      <c r="F1274" s="38" t="n">
        <v>68033</v>
      </c>
      <c r="G1274" s="39" t="n">
        <v>1</v>
      </c>
      <c r="H1274" s="40" t="n">
        <v>8325</v>
      </c>
    </row>
    <row r="1275" s="33" customFormat="true" ht="14.25" hidden="false" customHeight="false" outlineLevel="0" collapsed="false">
      <c r="A1275" s="34" t="n">
        <f aca="false">A1274+1</f>
        <v>1270</v>
      </c>
      <c r="B1275" s="35" t="s">
        <v>1017</v>
      </c>
      <c r="C1275" s="35" t="str">
        <f aca="false">"0044331"</f>
        <v>0044331</v>
      </c>
      <c r="D1275" s="37" t="s">
        <v>1089</v>
      </c>
      <c r="E1275" s="35" t="n">
        <v>2014</v>
      </c>
      <c r="F1275" s="38" t="n">
        <v>28616.43</v>
      </c>
      <c r="G1275" s="39" t="n">
        <v>1</v>
      </c>
      <c r="H1275" s="40" t="n">
        <v>8080</v>
      </c>
    </row>
    <row r="1276" s="33" customFormat="true" ht="14.25" hidden="false" customHeight="false" outlineLevel="0" collapsed="false">
      <c r="A1276" s="34" t="n">
        <f aca="false">A1275+1</f>
        <v>1271</v>
      </c>
      <c r="B1276" s="35" t="s">
        <v>1017</v>
      </c>
      <c r="C1276" s="35" t="str">
        <f aca="false">"0044332"</f>
        <v>0044332</v>
      </c>
      <c r="D1276" s="37" t="s">
        <v>1089</v>
      </c>
      <c r="E1276" s="35" t="n">
        <v>2014</v>
      </c>
      <c r="F1276" s="38" t="n">
        <v>23480.15</v>
      </c>
      <c r="G1276" s="39" t="n">
        <v>1</v>
      </c>
      <c r="H1276" s="40" t="n">
        <v>6630</v>
      </c>
    </row>
    <row r="1277" s="33" customFormat="true" ht="14.25" hidden="false" customHeight="false" outlineLevel="0" collapsed="false">
      <c r="A1277" s="34" t="n">
        <f aca="false">A1276+1</f>
        <v>1272</v>
      </c>
      <c r="B1277" s="35" t="s">
        <v>1017</v>
      </c>
      <c r="C1277" s="35" t="str">
        <f aca="false">"0044333"</f>
        <v>0044333</v>
      </c>
      <c r="D1277" s="37" t="s">
        <v>1089</v>
      </c>
      <c r="E1277" s="35" t="n">
        <v>2014</v>
      </c>
      <c r="F1277" s="38" t="n">
        <v>22287.8</v>
      </c>
      <c r="G1277" s="39" t="n">
        <v>1</v>
      </c>
      <c r="H1277" s="40" t="n">
        <v>6300</v>
      </c>
    </row>
    <row r="1278" s="33" customFormat="true" ht="14.25" hidden="false" customHeight="false" outlineLevel="0" collapsed="false">
      <c r="A1278" s="34" t="n">
        <f aca="false">A1277+1</f>
        <v>1273</v>
      </c>
      <c r="B1278" s="35" t="s">
        <v>1090</v>
      </c>
      <c r="C1278" s="35" t="str">
        <f aca="false">"0004682"</f>
        <v>0004682</v>
      </c>
      <c r="D1278" s="37" t="s">
        <v>1091</v>
      </c>
      <c r="E1278" s="35" t="n">
        <v>1978</v>
      </c>
      <c r="F1278" s="38" t="n">
        <f aca="false">244257.44*1.2</f>
        <v>293108.928</v>
      </c>
      <c r="G1278" s="39" t="n">
        <v>1</v>
      </c>
      <c r="H1278" s="40" t="n">
        <v>12850</v>
      </c>
    </row>
    <row r="1279" s="33" customFormat="true" ht="14.25" hidden="false" customHeight="false" outlineLevel="0" collapsed="false">
      <c r="A1279" s="34" t="n">
        <f aca="false">A1278+1</f>
        <v>1274</v>
      </c>
      <c r="B1279" s="35" t="s">
        <v>1090</v>
      </c>
      <c r="C1279" s="35" t="str">
        <f aca="false">"0005025"</f>
        <v>0005025</v>
      </c>
      <c r="D1279" s="37" t="s">
        <v>1092</v>
      </c>
      <c r="E1279" s="35" t="n">
        <v>1982</v>
      </c>
      <c r="F1279" s="38" t="n">
        <f aca="false">977029.75*1.2</f>
        <v>1172435.7</v>
      </c>
      <c r="G1279" s="39" t="n">
        <v>1</v>
      </c>
      <c r="H1279" s="40" t="n">
        <v>55900</v>
      </c>
    </row>
    <row r="1280" s="33" customFormat="true" ht="14.25" hidden="false" customHeight="false" outlineLevel="0" collapsed="false">
      <c r="A1280" s="34" t="n">
        <f aca="false">A1279+1</f>
        <v>1275</v>
      </c>
      <c r="B1280" s="35" t="s">
        <v>1093</v>
      </c>
      <c r="C1280" s="35" t="str">
        <f aca="false">"0006824"</f>
        <v>0006824</v>
      </c>
      <c r="D1280" s="37" t="s">
        <v>1094</v>
      </c>
      <c r="E1280" s="35" t="n">
        <v>1979</v>
      </c>
      <c r="F1280" s="38" t="n">
        <f aca="false">146554.46*1.2</f>
        <v>175865.352</v>
      </c>
      <c r="G1280" s="39" t="n">
        <v>2</v>
      </c>
      <c r="H1280" s="40" t="n">
        <v>14800</v>
      </c>
    </row>
    <row r="1281" s="33" customFormat="true" ht="14.25" hidden="false" customHeight="false" outlineLevel="0" collapsed="false">
      <c r="A1281" s="34" t="n">
        <f aca="false">A1280+1</f>
        <v>1276</v>
      </c>
      <c r="B1281" s="35" t="s">
        <v>1093</v>
      </c>
      <c r="C1281" s="35" t="str">
        <f aca="false">"0006826"</f>
        <v>0006826</v>
      </c>
      <c r="D1281" s="37" t="s">
        <v>1095</v>
      </c>
      <c r="E1281" s="35" t="n">
        <v>1979</v>
      </c>
      <c r="F1281" s="38" t="n">
        <f aca="false">732772.31*1.2</f>
        <v>879326.772</v>
      </c>
      <c r="G1281" s="39" t="n">
        <v>1</v>
      </c>
      <c r="H1281" s="40" t="n">
        <v>39400</v>
      </c>
    </row>
    <row r="1282" s="33" customFormat="true" ht="14.25" hidden="false" customHeight="false" outlineLevel="0" collapsed="false">
      <c r="A1282" s="34" t="n">
        <f aca="false">A1281+1</f>
        <v>1277</v>
      </c>
      <c r="B1282" s="35" t="s">
        <v>1093</v>
      </c>
      <c r="C1282" s="35" t="str">
        <f aca="false">"0011693"</f>
        <v>0011693</v>
      </c>
      <c r="D1282" s="37" t="s">
        <v>1096</v>
      </c>
      <c r="E1282" s="35" t="n">
        <v>2002</v>
      </c>
      <c r="F1282" s="38" t="n">
        <v>16900</v>
      </c>
      <c r="G1282" s="39" t="n">
        <v>1</v>
      </c>
      <c r="H1282" s="40" t="n">
        <v>1100</v>
      </c>
    </row>
    <row r="1283" s="33" customFormat="true" ht="14.25" hidden="false" customHeight="false" outlineLevel="0" collapsed="false">
      <c r="A1283" s="34" t="n">
        <f aca="false">A1282+1</f>
        <v>1278</v>
      </c>
      <c r="B1283" s="35" t="s">
        <v>1093</v>
      </c>
      <c r="C1283" s="35" t="str">
        <f aca="false">"0013031"</f>
        <v>0013031</v>
      </c>
      <c r="D1283" s="37" t="s">
        <v>1097</v>
      </c>
      <c r="E1283" s="35" t="n">
        <v>2002</v>
      </c>
      <c r="F1283" s="38" t="n">
        <v>17908</v>
      </c>
      <c r="G1283" s="39" t="n">
        <v>1</v>
      </c>
      <c r="H1283" s="40" t="n">
        <v>1150</v>
      </c>
    </row>
    <row r="1284" s="33" customFormat="true" ht="14.25" hidden="false" customHeight="false" outlineLevel="0" collapsed="false">
      <c r="A1284" s="34" t="n">
        <f aca="false">A1283+1</f>
        <v>1279</v>
      </c>
      <c r="B1284" s="35" t="s">
        <v>1093</v>
      </c>
      <c r="C1284" s="35" t="str">
        <f aca="false">"0013176"</f>
        <v>0013176</v>
      </c>
      <c r="D1284" s="37" t="s">
        <v>1098</v>
      </c>
      <c r="E1284" s="35" t="n">
        <v>2002</v>
      </c>
      <c r="F1284" s="38" t="n">
        <v>373.14</v>
      </c>
      <c r="G1284" s="39" t="n">
        <v>1</v>
      </c>
      <c r="H1284" s="40" t="n">
        <v>40</v>
      </c>
    </row>
    <row r="1285" s="33" customFormat="true" ht="14.25" hidden="false" customHeight="false" outlineLevel="0" collapsed="false">
      <c r="A1285" s="34" t="n">
        <f aca="false">A1284+1</f>
        <v>1280</v>
      </c>
      <c r="B1285" s="35" t="s">
        <v>1093</v>
      </c>
      <c r="C1285" s="35" t="str">
        <f aca="false">"0013420"</f>
        <v>0013420</v>
      </c>
      <c r="D1285" s="37" t="s">
        <v>1099</v>
      </c>
      <c r="E1285" s="35" t="n">
        <v>2003</v>
      </c>
      <c r="F1285" s="38" t="n">
        <v>780.83</v>
      </c>
      <c r="G1285" s="39" t="n">
        <v>1</v>
      </c>
      <c r="H1285" s="40" t="n">
        <v>80</v>
      </c>
    </row>
    <row r="1286" s="33" customFormat="true" ht="14.25" hidden="false" customHeight="false" outlineLevel="0" collapsed="false">
      <c r="A1286" s="34" t="n">
        <f aca="false">A1285+1</f>
        <v>1281</v>
      </c>
      <c r="B1286" s="35" t="s">
        <v>1100</v>
      </c>
      <c r="C1286" s="35" t="str">
        <f aca="false">"0000090"</f>
        <v>0000090</v>
      </c>
      <c r="D1286" s="37" t="s">
        <v>1101</v>
      </c>
      <c r="E1286" s="35" t="n">
        <v>1997</v>
      </c>
      <c r="F1286" s="38" t="n">
        <f aca="false">4885.71</f>
        <v>4885.71</v>
      </c>
      <c r="G1286" s="39" t="n">
        <v>1</v>
      </c>
      <c r="H1286" s="40" t="n">
        <v>350</v>
      </c>
    </row>
    <row r="1287" s="33" customFormat="true" ht="14.25" hidden="false" customHeight="false" outlineLevel="0" collapsed="false">
      <c r="A1287" s="34" t="n">
        <f aca="false">A1286+1</f>
        <v>1282</v>
      </c>
      <c r="B1287" s="35" t="s">
        <v>1100</v>
      </c>
      <c r="C1287" s="35" t="str">
        <f aca="false">"0001341"</f>
        <v>0001341</v>
      </c>
      <c r="D1287" s="37" t="s">
        <v>1102</v>
      </c>
      <c r="E1287" s="35" t="n">
        <v>1987</v>
      </c>
      <c r="F1287" s="38" t="n">
        <f aca="false">2442.86*1.2</f>
        <v>2931.432</v>
      </c>
      <c r="G1287" s="39" t="n">
        <v>1</v>
      </c>
      <c r="H1287" s="40" t="n">
        <v>145</v>
      </c>
    </row>
    <row r="1288" s="33" customFormat="true" ht="14.25" hidden="false" customHeight="false" outlineLevel="0" collapsed="false">
      <c r="A1288" s="34" t="n">
        <f aca="false">A1287+1</f>
        <v>1283</v>
      </c>
      <c r="B1288" s="35" t="s">
        <v>1100</v>
      </c>
      <c r="C1288" s="35" t="str">
        <f aca="false">"0001698"</f>
        <v>0001698</v>
      </c>
      <c r="D1288" s="37" t="s">
        <v>1103</v>
      </c>
      <c r="E1288" s="35" t="n">
        <v>1987</v>
      </c>
      <c r="F1288" s="38" t="n">
        <f aca="false">48851.49*1.2</f>
        <v>58621.788</v>
      </c>
      <c r="G1288" s="39" t="n">
        <v>1</v>
      </c>
      <c r="H1288" s="40" t="n">
        <v>2900</v>
      </c>
    </row>
    <row r="1289" s="33" customFormat="true" ht="14.25" hidden="false" customHeight="false" outlineLevel="0" collapsed="false">
      <c r="A1289" s="34" t="n">
        <f aca="false">A1288+1</f>
        <v>1284</v>
      </c>
      <c r="B1289" s="35" t="s">
        <v>1100</v>
      </c>
      <c r="C1289" s="35" t="str">
        <f aca="false">"0002656"</f>
        <v>0002656</v>
      </c>
      <c r="D1289" s="37" t="s">
        <v>112</v>
      </c>
      <c r="E1289" s="35" t="n">
        <v>1974</v>
      </c>
      <c r="F1289" s="38" t="n">
        <v>50.66</v>
      </c>
      <c r="G1289" s="39" t="n">
        <v>1</v>
      </c>
      <c r="H1289" s="40" t="n">
        <v>5</v>
      </c>
    </row>
    <row r="1290" s="33" customFormat="true" ht="14.25" hidden="false" customHeight="false" outlineLevel="0" collapsed="false">
      <c r="A1290" s="34" t="n">
        <f aca="false">A1289+1</f>
        <v>1285</v>
      </c>
      <c r="B1290" s="35" t="s">
        <v>1100</v>
      </c>
      <c r="C1290" s="35" t="str">
        <f aca="false">"0002959"</f>
        <v>0002959</v>
      </c>
      <c r="D1290" s="37" t="s">
        <v>1104</v>
      </c>
      <c r="E1290" s="35" t="n">
        <v>1987</v>
      </c>
      <c r="F1290" s="38" t="n">
        <f aca="false">48851.49*1.2</f>
        <v>58621.788</v>
      </c>
      <c r="G1290" s="39" t="n">
        <v>1</v>
      </c>
      <c r="H1290" s="40" t="n">
        <v>3100</v>
      </c>
    </row>
    <row r="1291" s="33" customFormat="true" ht="14.25" hidden="false" customHeight="false" outlineLevel="0" collapsed="false">
      <c r="A1291" s="34" t="n">
        <f aca="false">A1290+1</f>
        <v>1286</v>
      </c>
      <c r="B1291" s="35" t="s">
        <v>1100</v>
      </c>
      <c r="C1291" s="35" t="str">
        <f aca="false">"0003622"</f>
        <v>0003622</v>
      </c>
      <c r="D1291" s="37" t="s">
        <v>1105</v>
      </c>
      <c r="E1291" s="35" t="n">
        <v>1987</v>
      </c>
      <c r="F1291" s="38" t="n">
        <f aca="false">73274.42*1.2</f>
        <v>87929.304</v>
      </c>
      <c r="G1291" s="39" t="n">
        <v>1</v>
      </c>
      <c r="H1291" s="40" t="n">
        <v>4360</v>
      </c>
    </row>
    <row r="1292" s="33" customFormat="true" ht="14.25" hidden="false" customHeight="false" outlineLevel="0" collapsed="false">
      <c r="A1292" s="34" t="n">
        <f aca="false">A1291+1</f>
        <v>1287</v>
      </c>
      <c r="B1292" s="35" t="s">
        <v>1100</v>
      </c>
      <c r="C1292" s="35" t="str">
        <f aca="false">"0003939"</f>
        <v>0003939</v>
      </c>
      <c r="D1292" s="37" t="s">
        <v>1106</v>
      </c>
      <c r="E1292" s="35" t="n">
        <v>1987</v>
      </c>
      <c r="F1292" s="38" t="n">
        <f aca="false">20900*7.5</f>
        <v>156750</v>
      </c>
      <c r="G1292" s="39" t="n">
        <v>1</v>
      </c>
      <c r="H1292" s="40" t="n">
        <v>7780</v>
      </c>
    </row>
    <row r="1293" s="33" customFormat="true" ht="14.25" hidden="false" customHeight="false" outlineLevel="0" collapsed="false">
      <c r="A1293" s="34" t="n">
        <f aca="false">A1292+1</f>
        <v>1288</v>
      </c>
      <c r="B1293" s="35" t="s">
        <v>1100</v>
      </c>
      <c r="C1293" s="35" t="str">
        <f aca="false">"0003949"</f>
        <v>0003949</v>
      </c>
      <c r="D1293" s="37" t="s">
        <v>114</v>
      </c>
      <c r="E1293" s="35" t="n">
        <v>1987</v>
      </c>
      <c r="F1293" s="38" t="n">
        <v>33.77</v>
      </c>
      <c r="G1293" s="39" t="n">
        <v>1</v>
      </c>
      <c r="H1293" s="40" t="n">
        <v>5</v>
      </c>
    </row>
    <row r="1294" s="33" customFormat="true" ht="14.25" hidden="false" customHeight="false" outlineLevel="0" collapsed="false">
      <c r="A1294" s="34" t="n">
        <f aca="false">A1293+1</f>
        <v>1289</v>
      </c>
      <c r="B1294" s="35" t="s">
        <v>1100</v>
      </c>
      <c r="C1294" s="35" t="str">
        <f aca="false">"0004125"</f>
        <v>0004125</v>
      </c>
      <c r="D1294" s="37" t="s">
        <v>311</v>
      </c>
      <c r="E1294" s="35" t="n">
        <v>1987</v>
      </c>
      <c r="F1294" s="38" t="n">
        <v>28.14</v>
      </c>
      <c r="G1294" s="39" t="n">
        <v>1</v>
      </c>
      <c r="H1294" s="40" t="n">
        <v>5</v>
      </c>
    </row>
    <row r="1295" s="33" customFormat="true" ht="14.25" hidden="false" customHeight="false" outlineLevel="0" collapsed="false">
      <c r="A1295" s="34" t="n">
        <f aca="false">A1294+1</f>
        <v>1290</v>
      </c>
      <c r="B1295" s="35" t="s">
        <v>1100</v>
      </c>
      <c r="C1295" s="35" t="str">
        <f aca="false">"0005178"</f>
        <v>0005178</v>
      </c>
      <c r="D1295" s="37" t="s">
        <v>42</v>
      </c>
      <c r="E1295" s="35" t="n">
        <v>1987</v>
      </c>
      <c r="F1295" s="38" t="n">
        <v>61.92</v>
      </c>
      <c r="G1295" s="39" t="n">
        <v>1</v>
      </c>
      <c r="H1295" s="40" t="n">
        <v>5</v>
      </c>
    </row>
    <row r="1296" s="33" customFormat="true" ht="14.25" hidden="false" customHeight="false" outlineLevel="0" collapsed="false">
      <c r="A1296" s="34" t="n">
        <f aca="false">A1295+1</f>
        <v>1291</v>
      </c>
      <c r="B1296" s="35" t="s">
        <v>1100</v>
      </c>
      <c r="C1296" s="35" t="str">
        <f aca="false">"0004108"</f>
        <v>0004108</v>
      </c>
      <c r="D1296" s="37" t="s">
        <v>42</v>
      </c>
      <c r="E1296" s="35" t="n">
        <v>1987</v>
      </c>
      <c r="F1296" s="38" t="n">
        <v>56.29</v>
      </c>
      <c r="G1296" s="39" t="n">
        <v>3</v>
      </c>
      <c r="H1296" s="40" t="n">
        <v>15</v>
      </c>
    </row>
    <row r="1297" s="33" customFormat="true" ht="14.25" hidden="false" customHeight="false" outlineLevel="0" collapsed="false">
      <c r="A1297" s="34" t="n">
        <f aca="false">A1296+1</f>
        <v>1292</v>
      </c>
      <c r="B1297" s="35" t="s">
        <v>1100</v>
      </c>
      <c r="C1297" s="35" t="str">
        <f aca="false">"0006403"</f>
        <v>0006403</v>
      </c>
      <c r="D1297" s="37" t="s">
        <v>301</v>
      </c>
      <c r="E1297" s="35" t="n">
        <v>1987</v>
      </c>
      <c r="F1297" s="38" t="n">
        <v>28.14</v>
      </c>
      <c r="G1297" s="39" t="n">
        <v>4</v>
      </c>
      <c r="H1297" s="40" t="n">
        <v>20</v>
      </c>
    </row>
    <row r="1298" s="33" customFormat="true" ht="14.25" hidden="false" customHeight="false" outlineLevel="0" collapsed="false">
      <c r="A1298" s="34" t="n">
        <f aca="false">A1297+1</f>
        <v>1293</v>
      </c>
      <c r="B1298" s="35" t="s">
        <v>1100</v>
      </c>
      <c r="C1298" s="35" t="str">
        <f aca="false">"0005402"</f>
        <v>0005402</v>
      </c>
      <c r="D1298" s="37" t="s">
        <v>112</v>
      </c>
      <c r="E1298" s="35" t="n">
        <v>1987</v>
      </c>
      <c r="F1298" s="38" t="n">
        <v>50.66</v>
      </c>
      <c r="G1298" s="39" t="n">
        <v>6</v>
      </c>
      <c r="H1298" s="40" t="n">
        <v>30</v>
      </c>
    </row>
    <row r="1299" s="33" customFormat="true" ht="14.25" hidden="false" customHeight="false" outlineLevel="0" collapsed="false">
      <c r="A1299" s="34" t="n">
        <f aca="false">A1298+1</f>
        <v>1294</v>
      </c>
      <c r="B1299" s="35" t="s">
        <v>1100</v>
      </c>
      <c r="C1299" s="35" t="str">
        <f aca="false">"0008570"</f>
        <v>0008570</v>
      </c>
      <c r="D1299" s="37" t="s">
        <v>114</v>
      </c>
      <c r="E1299" s="35" t="n">
        <v>1987</v>
      </c>
      <c r="F1299" s="38" t="n">
        <v>33.77</v>
      </c>
      <c r="G1299" s="39" t="n">
        <v>2</v>
      </c>
      <c r="H1299" s="40" t="n">
        <v>10</v>
      </c>
    </row>
    <row r="1300" s="33" customFormat="true" ht="14.25" hidden="false" customHeight="false" outlineLevel="0" collapsed="false">
      <c r="A1300" s="34" t="n">
        <f aca="false">A1299+1</f>
        <v>1295</v>
      </c>
      <c r="B1300" s="35" t="s">
        <v>1100</v>
      </c>
      <c r="C1300" s="35" t="str">
        <f aca="false">"0010541"</f>
        <v>0010541</v>
      </c>
      <c r="D1300" s="37" t="s">
        <v>311</v>
      </c>
      <c r="E1300" s="35" t="n">
        <v>1987</v>
      </c>
      <c r="F1300" s="38" t="n">
        <v>39.4</v>
      </c>
      <c r="G1300" s="39" t="n">
        <v>1</v>
      </c>
      <c r="H1300" s="40" t="n">
        <v>5</v>
      </c>
    </row>
    <row r="1301" s="33" customFormat="true" ht="14.25" hidden="false" customHeight="false" outlineLevel="0" collapsed="false">
      <c r="A1301" s="34" t="n">
        <f aca="false">A1300+1</f>
        <v>1296</v>
      </c>
      <c r="B1301" s="35" t="s">
        <v>1100</v>
      </c>
      <c r="C1301" s="35" t="str">
        <f aca="false">"0012840"</f>
        <v>0012840</v>
      </c>
      <c r="D1301" s="37" t="s">
        <v>112</v>
      </c>
      <c r="E1301" s="35" t="n">
        <v>1987</v>
      </c>
      <c r="F1301" s="38" t="n">
        <v>332.09</v>
      </c>
      <c r="G1301" s="39" t="n">
        <v>4</v>
      </c>
      <c r="H1301" s="40" t="n">
        <v>60</v>
      </c>
    </row>
    <row r="1302" s="33" customFormat="true" ht="14.25" hidden="false" customHeight="false" outlineLevel="0" collapsed="false">
      <c r="A1302" s="34" t="n">
        <f aca="false">A1301+1</f>
        <v>1297</v>
      </c>
      <c r="B1302" s="35" t="s">
        <v>1100</v>
      </c>
      <c r="C1302" s="35" t="str">
        <f aca="false">"0013230"</f>
        <v>0013230</v>
      </c>
      <c r="D1302" s="37" t="s">
        <v>114</v>
      </c>
      <c r="E1302" s="35" t="n">
        <v>1987</v>
      </c>
      <c r="F1302" s="38" t="n">
        <v>106.95</v>
      </c>
      <c r="G1302" s="39" t="n">
        <v>1</v>
      </c>
      <c r="H1302" s="40" t="n">
        <v>5</v>
      </c>
    </row>
    <row r="1303" s="33" customFormat="true" ht="14.25" hidden="false" customHeight="false" outlineLevel="0" collapsed="false">
      <c r="A1303" s="34" t="n">
        <f aca="false">A1302+1</f>
        <v>1298</v>
      </c>
      <c r="B1303" s="35" t="s">
        <v>1100</v>
      </c>
      <c r="C1303" s="35" t="str">
        <f aca="false">"0013533"</f>
        <v>0013533</v>
      </c>
      <c r="D1303" s="37" t="s">
        <v>1107</v>
      </c>
      <c r="E1303" s="35" t="n">
        <v>1987</v>
      </c>
      <c r="F1303" s="38" t="n">
        <v>95.69</v>
      </c>
      <c r="G1303" s="39" t="n">
        <v>1</v>
      </c>
      <c r="H1303" s="40" t="n">
        <v>5</v>
      </c>
    </row>
    <row r="1304" s="33" customFormat="true" ht="14.25" hidden="false" customHeight="false" outlineLevel="0" collapsed="false">
      <c r="A1304" s="42" t="n">
        <f aca="false">A1303+1</f>
        <v>1299</v>
      </c>
      <c r="B1304" s="35" t="s">
        <v>1100</v>
      </c>
      <c r="C1304" s="35" t="str">
        <f aca="false">"0013885"</f>
        <v>0013885</v>
      </c>
      <c r="D1304" s="37" t="s">
        <v>1108</v>
      </c>
      <c r="E1304" s="35" t="n">
        <v>2004</v>
      </c>
      <c r="F1304" s="38" t="n">
        <v>34658.5</v>
      </c>
      <c r="G1304" s="39" t="n">
        <v>1</v>
      </c>
      <c r="H1304" s="40" t="n">
        <v>2220</v>
      </c>
    </row>
    <row r="1305" s="33" customFormat="true" ht="14.25" hidden="false" customHeight="false" outlineLevel="0" collapsed="false">
      <c r="A1305" s="34" t="n">
        <f aca="false">A1304+1</f>
        <v>1300</v>
      </c>
      <c r="B1305" s="35" t="s">
        <v>1100</v>
      </c>
      <c r="C1305" s="35" t="str">
        <f aca="false">"0014027"</f>
        <v>0014027</v>
      </c>
      <c r="D1305" s="37" t="s">
        <v>1109</v>
      </c>
      <c r="E1305" s="35" t="n">
        <v>2004</v>
      </c>
      <c r="F1305" s="38" t="n">
        <v>874</v>
      </c>
      <c r="G1305" s="39" t="n">
        <v>1</v>
      </c>
      <c r="H1305" s="44" t="s">
        <v>121</v>
      </c>
    </row>
    <row r="1306" s="33" customFormat="true" ht="14.25" hidden="false" customHeight="false" outlineLevel="0" collapsed="false">
      <c r="A1306" s="34" t="n">
        <f aca="false">A1305+1</f>
        <v>1301</v>
      </c>
      <c r="B1306" s="35" t="s">
        <v>1100</v>
      </c>
      <c r="C1306" s="35" t="str">
        <f aca="false">"0014032"</f>
        <v>0014032</v>
      </c>
      <c r="D1306" s="37" t="s">
        <v>1110</v>
      </c>
      <c r="E1306" s="35" t="n">
        <v>2004</v>
      </c>
      <c r="F1306" s="38" t="n">
        <v>1114</v>
      </c>
      <c r="G1306" s="39" t="n">
        <v>1</v>
      </c>
      <c r="H1306" s="40" t="n">
        <v>70</v>
      </c>
    </row>
    <row r="1307" s="33" customFormat="true" ht="14.25" hidden="false" customHeight="false" outlineLevel="0" collapsed="false">
      <c r="A1307" s="34" t="n">
        <f aca="false">A1306+1</f>
        <v>1302</v>
      </c>
      <c r="B1307" s="35" t="s">
        <v>1100</v>
      </c>
      <c r="C1307" s="35" t="str">
        <f aca="false">"0014474"</f>
        <v>0014474</v>
      </c>
      <c r="D1307" s="37" t="s">
        <v>205</v>
      </c>
      <c r="E1307" s="35" t="n">
        <v>1987</v>
      </c>
      <c r="F1307" s="38" t="n">
        <v>1885.61</v>
      </c>
      <c r="G1307" s="39" t="n">
        <v>3</v>
      </c>
      <c r="H1307" s="40" t="n">
        <v>270</v>
      </c>
    </row>
    <row r="1308" s="33" customFormat="true" ht="14.25" hidden="false" customHeight="false" outlineLevel="0" collapsed="false">
      <c r="A1308" s="34" t="n">
        <f aca="false">A1307+1</f>
        <v>1303</v>
      </c>
      <c r="B1308" s="35" t="s">
        <v>1100</v>
      </c>
      <c r="C1308" s="35" t="str">
        <f aca="false">"0014485"</f>
        <v>0014485</v>
      </c>
      <c r="D1308" s="37" t="s">
        <v>42</v>
      </c>
      <c r="E1308" s="35" t="n">
        <v>1987</v>
      </c>
      <c r="F1308" s="38" t="n">
        <v>73.17</v>
      </c>
      <c r="G1308" s="39" t="n">
        <v>1</v>
      </c>
      <c r="H1308" s="40" t="n">
        <v>5</v>
      </c>
    </row>
    <row r="1309" s="33" customFormat="true" ht="14.25" hidden="false" customHeight="false" outlineLevel="0" collapsed="false">
      <c r="A1309" s="34" t="n">
        <f aca="false">A1308+1</f>
        <v>1304</v>
      </c>
      <c r="B1309" s="35" t="s">
        <v>1100</v>
      </c>
      <c r="C1309" s="35" t="str">
        <f aca="false">"0014834"</f>
        <v>0014834</v>
      </c>
      <c r="D1309" s="37" t="s">
        <v>1111</v>
      </c>
      <c r="E1309" s="35" t="n">
        <v>2005</v>
      </c>
      <c r="F1309" s="38" t="n">
        <v>1036</v>
      </c>
      <c r="G1309" s="39" t="n">
        <v>1</v>
      </c>
      <c r="H1309" s="40" t="n">
        <v>60</v>
      </c>
    </row>
    <row r="1310" s="33" customFormat="true" ht="14.25" hidden="false" customHeight="false" outlineLevel="0" collapsed="false">
      <c r="A1310" s="34" t="n">
        <f aca="false">A1309+1</f>
        <v>1305</v>
      </c>
      <c r="B1310" s="35" t="s">
        <v>1100</v>
      </c>
      <c r="C1310" s="35" t="str">
        <f aca="false">"0015003"</f>
        <v>0015003</v>
      </c>
      <c r="D1310" s="37" t="s">
        <v>42</v>
      </c>
      <c r="E1310" s="35" t="n">
        <v>1987</v>
      </c>
      <c r="F1310" s="38" t="n">
        <v>174.49</v>
      </c>
      <c r="G1310" s="39" t="n">
        <v>1</v>
      </c>
      <c r="H1310" s="40" t="n">
        <v>10</v>
      </c>
    </row>
    <row r="1311" s="33" customFormat="true" ht="14.25" hidden="false" customHeight="false" outlineLevel="0" collapsed="false">
      <c r="A1311" s="34" t="n">
        <f aca="false">A1310+1</f>
        <v>1306</v>
      </c>
      <c r="B1311" s="35" t="s">
        <v>1100</v>
      </c>
      <c r="C1311" s="35" t="str">
        <f aca="false">"0015187"</f>
        <v>0015187</v>
      </c>
      <c r="D1311" s="37" t="s">
        <v>1112</v>
      </c>
      <c r="E1311" s="35" t="n">
        <v>2005</v>
      </c>
      <c r="F1311" s="38" t="n">
        <v>5357</v>
      </c>
      <c r="G1311" s="39" t="n">
        <v>1</v>
      </c>
      <c r="H1311" s="40" t="n">
        <v>320</v>
      </c>
    </row>
    <row r="1312" s="33" customFormat="true" ht="14.25" hidden="false" customHeight="false" outlineLevel="0" collapsed="false">
      <c r="A1312" s="34" t="n">
        <f aca="false">A1311+1</f>
        <v>1307</v>
      </c>
      <c r="B1312" s="35" t="s">
        <v>1100</v>
      </c>
      <c r="C1312" s="35" t="str">
        <f aca="false">"0015789"</f>
        <v>0015789</v>
      </c>
      <c r="D1312" s="37" t="s">
        <v>1113</v>
      </c>
      <c r="E1312" s="35" t="n">
        <v>2006</v>
      </c>
      <c r="F1312" s="38" t="n">
        <v>1330</v>
      </c>
      <c r="G1312" s="39" t="n">
        <v>1</v>
      </c>
      <c r="H1312" s="40" t="n">
        <v>85</v>
      </c>
    </row>
    <row r="1313" s="33" customFormat="true" ht="14.25" hidden="false" customHeight="false" outlineLevel="0" collapsed="false">
      <c r="A1313" s="34" t="n">
        <f aca="false">A1312+1</f>
        <v>1308</v>
      </c>
      <c r="B1313" s="35" t="s">
        <v>1100</v>
      </c>
      <c r="C1313" s="35" t="str">
        <f aca="false">"0015830"</f>
        <v>0015830</v>
      </c>
      <c r="D1313" s="37" t="s">
        <v>1114</v>
      </c>
      <c r="E1313" s="35" t="n">
        <v>2006</v>
      </c>
      <c r="F1313" s="38" t="n">
        <v>3974</v>
      </c>
      <c r="G1313" s="39" t="n">
        <v>1</v>
      </c>
      <c r="H1313" s="40" t="n">
        <v>410</v>
      </c>
    </row>
    <row r="1314" s="33" customFormat="true" ht="14.25" hidden="false" customHeight="false" outlineLevel="0" collapsed="false">
      <c r="A1314" s="34" t="n">
        <f aca="false">A1313+1</f>
        <v>1309</v>
      </c>
      <c r="B1314" s="35" t="s">
        <v>1100</v>
      </c>
      <c r="C1314" s="35" t="str">
        <f aca="false">"0017772"</f>
        <v>0017772</v>
      </c>
      <c r="D1314" s="37" t="s">
        <v>42</v>
      </c>
      <c r="E1314" s="35" t="n">
        <v>1987</v>
      </c>
      <c r="F1314" s="38" t="n">
        <v>168.86</v>
      </c>
      <c r="G1314" s="39" t="n">
        <v>1</v>
      </c>
      <c r="H1314" s="40" t="n">
        <v>10</v>
      </c>
    </row>
    <row r="1315" s="33" customFormat="true" ht="14.25" hidden="false" customHeight="false" outlineLevel="0" collapsed="false">
      <c r="A1315" s="34" t="n">
        <f aca="false">A1314+1</f>
        <v>1310</v>
      </c>
      <c r="B1315" s="35" t="s">
        <v>1100</v>
      </c>
      <c r="C1315" s="35" t="str">
        <f aca="false">"0018909"</f>
        <v>0018909</v>
      </c>
      <c r="D1315" s="37" t="s">
        <v>1115</v>
      </c>
      <c r="E1315" s="35" t="n">
        <v>1978</v>
      </c>
      <c r="F1315" s="38" t="n">
        <v>894.96</v>
      </c>
      <c r="G1315" s="39" t="n">
        <v>1</v>
      </c>
      <c r="H1315" s="40" t="n">
        <v>30</v>
      </c>
    </row>
    <row r="1316" s="33" customFormat="true" ht="14.25" hidden="false" customHeight="false" outlineLevel="0" collapsed="false">
      <c r="A1316" s="34" t="n">
        <f aca="false">A1315+1</f>
        <v>1311</v>
      </c>
      <c r="B1316" s="35" t="s">
        <v>1100</v>
      </c>
      <c r="C1316" s="35" t="str">
        <f aca="false">"0019593"</f>
        <v>0019593</v>
      </c>
      <c r="D1316" s="37" t="s">
        <v>1116</v>
      </c>
      <c r="E1316" s="35" t="n">
        <v>1977</v>
      </c>
      <c r="F1316" s="38" t="n">
        <v>129.46</v>
      </c>
      <c r="G1316" s="39" t="n">
        <v>1</v>
      </c>
      <c r="H1316" s="40" t="n">
        <v>5</v>
      </c>
    </row>
    <row r="1317" s="33" customFormat="true" ht="14.25" hidden="false" customHeight="false" outlineLevel="0" collapsed="false">
      <c r="A1317" s="34" t="n">
        <f aca="false">A1316+1</f>
        <v>1312</v>
      </c>
      <c r="B1317" s="35" t="s">
        <v>1100</v>
      </c>
      <c r="C1317" s="35" t="str">
        <f aca="false">"0025177"</f>
        <v>0025177</v>
      </c>
      <c r="D1317" s="37" t="s">
        <v>114</v>
      </c>
      <c r="E1317" s="35" t="n">
        <v>1984</v>
      </c>
      <c r="F1317" s="38" t="n">
        <v>1975.67</v>
      </c>
      <c r="G1317" s="39" t="n">
        <v>2</v>
      </c>
      <c r="H1317" s="40" t="n">
        <v>180</v>
      </c>
    </row>
    <row r="1318" s="33" customFormat="true" ht="14.25" hidden="false" customHeight="false" outlineLevel="0" collapsed="false">
      <c r="A1318" s="34" t="n">
        <f aca="false">A1317+1</f>
        <v>1313</v>
      </c>
      <c r="B1318" s="35" t="s">
        <v>1100</v>
      </c>
      <c r="C1318" s="35" t="str">
        <f aca="false">"0025240"</f>
        <v>0025240</v>
      </c>
      <c r="D1318" s="37" t="s">
        <v>152</v>
      </c>
      <c r="E1318" s="35" t="n">
        <v>1985</v>
      </c>
      <c r="F1318" s="38" t="n">
        <v>23798.14</v>
      </c>
      <c r="G1318" s="39" t="n">
        <v>1</v>
      </c>
      <c r="H1318" s="40" t="n">
        <v>1090</v>
      </c>
    </row>
    <row r="1319" s="33" customFormat="true" ht="14.25" hidden="false" customHeight="false" outlineLevel="0" collapsed="false">
      <c r="A1319" s="34" t="n">
        <f aca="false">A1318+1</f>
        <v>1314</v>
      </c>
      <c r="B1319" s="35" t="s">
        <v>1100</v>
      </c>
      <c r="C1319" s="35" t="str">
        <f aca="false">"0028238"</f>
        <v>0028238</v>
      </c>
      <c r="D1319" s="37" t="s">
        <v>191</v>
      </c>
      <c r="E1319" s="35" t="n">
        <v>1986</v>
      </c>
      <c r="F1319" s="38" t="n">
        <v>1795.56</v>
      </c>
      <c r="G1319" s="39" t="n">
        <v>34</v>
      </c>
      <c r="H1319" s="40" t="n">
        <v>3060</v>
      </c>
    </row>
    <row r="1320" s="33" customFormat="true" ht="14.25" hidden="false" customHeight="false" outlineLevel="0" collapsed="false">
      <c r="A1320" s="34" t="n">
        <f aca="false">A1319+1</f>
        <v>1315</v>
      </c>
      <c r="B1320" s="35" t="s">
        <v>1100</v>
      </c>
      <c r="C1320" s="35" t="str">
        <f aca="false">"0035802"</f>
        <v>0035802</v>
      </c>
      <c r="D1320" s="37" t="s">
        <v>1117</v>
      </c>
      <c r="E1320" s="35" t="n">
        <v>2007</v>
      </c>
      <c r="F1320" s="38" t="n">
        <v>9455.33</v>
      </c>
      <c r="G1320" s="39" t="n">
        <v>1</v>
      </c>
      <c r="H1320" s="40" t="n">
        <v>1060</v>
      </c>
    </row>
    <row r="1321" s="33" customFormat="true" ht="14.25" hidden="false" customHeight="false" outlineLevel="0" collapsed="false">
      <c r="A1321" s="34" t="n">
        <f aca="false">A1320+1</f>
        <v>1316</v>
      </c>
      <c r="B1321" s="35" t="s">
        <v>1100</v>
      </c>
      <c r="C1321" s="35" t="str">
        <f aca="false">"0035908"</f>
        <v>0035908</v>
      </c>
      <c r="D1321" s="37" t="s">
        <v>1118</v>
      </c>
      <c r="E1321" s="35" t="n">
        <v>2007</v>
      </c>
      <c r="F1321" s="38" t="n">
        <v>2698</v>
      </c>
      <c r="G1321" s="39" t="n">
        <v>1</v>
      </c>
      <c r="H1321" s="40" t="n">
        <v>250</v>
      </c>
    </row>
    <row r="1322" s="33" customFormat="true" ht="14.25" hidden="false" customHeight="false" outlineLevel="0" collapsed="false">
      <c r="A1322" s="34" t="n">
        <f aca="false">A1321+1</f>
        <v>1317</v>
      </c>
      <c r="B1322" s="35" t="s">
        <v>1100</v>
      </c>
      <c r="C1322" s="35" t="str">
        <f aca="false">"0035909"</f>
        <v>0035909</v>
      </c>
      <c r="D1322" s="37" t="s">
        <v>1119</v>
      </c>
      <c r="E1322" s="35" t="n">
        <v>2007</v>
      </c>
      <c r="F1322" s="38" t="n">
        <v>1588</v>
      </c>
      <c r="G1322" s="39" t="n">
        <v>1</v>
      </c>
      <c r="H1322" s="40" t="n">
        <v>150</v>
      </c>
    </row>
    <row r="1323" s="33" customFormat="true" ht="14.25" hidden="false" customHeight="false" outlineLevel="0" collapsed="false">
      <c r="A1323" s="34" t="n">
        <f aca="false">A1322+1</f>
        <v>1318</v>
      </c>
      <c r="B1323" s="35" t="s">
        <v>1100</v>
      </c>
      <c r="C1323" s="35" t="str">
        <f aca="false">"0035913"</f>
        <v>0035913</v>
      </c>
      <c r="D1323" s="37" t="s">
        <v>1120</v>
      </c>
      <c r="E1323" s="35" t="n">
        <v>2007</v>
      </c>
      <c r="F1323" s="38" t="n">
        <v>1171</v>
      </c>
      <c r="G1323" s="39" t="n">
        <v>5</v>
      </c>
      <c r="H1323" s="40" t="n">
        <v>550</v>
      </c>
    </row>
    <row r="1324" s="33" customFormat="true" ht="14.25" hidden="false" customHeight="false" outlineLevel="0" collapsed="false">
      <c r="A1324" s="34" t="n">
        <f aca="false">A1323+1</f>
        <v>1319</v>
      </c>
      <c r="B1324" s="35" t="s">
        <v>1100</v>
      </c>
      <c r="C1324" s="35" t="str">
        <f aca="false">"0035918"</f>
        <v>0035918</v>
      </c>
      <c r="D1324" s="37" t="s">
        <v>1121</v>
      </c>
      <c r="E1324" s="35" t="n">
        <v>2007</v>
      </c>
      <c r="F1324" s="38" t="n">
        <v>1564</v>
      </c>
      <c r="G1324" s="39" t="n">
        <v>1</v>
      </c>
      <c r="H1324" s="40" t="n">
        <v>145</v>
      </c>
    </row>
    <row r="1325" s="33" customFormat="true" ht="14.25" hidden="false" customHeight="false" outlineLevel="0" collapsed="false">
      <c r="A1325" s="34" t="n">
        <f aca="false">A1324+1</f>
        <v>1320</v>
      </c>
      <c r="B1325" s="35" t="s">
        <v>1100</v>
      </c>
      <c r="C1325" s="35" t="str">
        <f aca="false">"0035919"</f>
        <v>0035919</v>
      </c>
      <c r="D1325" s="37" t="s">
        <v>1122</v>
      </c>
      <c r="E1325" s="35" t="n">
        <v>2007</v>
      </c>
      <c r="F1325" s="38" t="n">
        <v>835</v>
      </c>
      <c r="G1325" s="39" t="n">
        <v>10</v>
      </c>
      <c r="H1325" s="40" t="n">
        <v>800</v>
      </c>
    </row>
    <row r="1326" s="33" customFormat="true" ht="14.25" hidden="false" customHeight="false" outlineLevel="0" collapsed="false">
      <c r="A1326" s="34" t="n">
        <f aca="false">A1325+1</f>
        <v>1321</v>
      </c>
      <c r="B1326" s="35" t="s">
        <v>1100</v>
      </c>
      <c r="C1326" s="35" t="str">
        <f aca="false">"0035934"</f>
        <v>0035934</v>
      </c>
      <c r="D1326" s="37" t="s">
        <v>1123</v>
      </c>
      <c r="E1326" s="35" t="n">
        <v>2007</v>
      </c>
      <c r="F1326" s="38" t="n">
        <v>891</v>
      </c>
      <c r="G1326" s="39" t="n">
        <v>1</v>
      </c>
      <c r="H1326" s="40" t="n">
        <v>80</v>
      </c>
    </row>
    <row r="1327" s="33" customFormat="true" ht="14.25" hidden="false" customHeight="false" outlineLevel="0" collapsed="false">
      <c r="A1327" s="34" t="n">
        <f aca="false">A1326+1</f>
        <v>1322</v>
      </c>
      <c r="B1327" s="35" t="s">
        <v>1100</v>
      </c>
      <c r="C1327" s="35" t="str">
        <f aca="false">"0035935"</f>
        <v>0035935</v>
      </c>
      <c r="D1327" s="37" t="s">
        <v>1124</v>
      </c>
      <c r="E1327" s="35" t="n">
        <v>2007</v>
      </c>
      <c r="F1327" s="38" t="n">
        <v>624</v>
      </c>
      <c r="G1327" s="39" t="n">
        <v>1</v>
      </c>
      <c r="H1327" s="40" t="n">
        <v>60</v>
      </c>
    </row>
    <row r="1328" s="33" customFormat="true" ht="14.25" hidden="false" customHeight="false" outlineLevel="0" collapsed="false">
      <c r="A1328" s="34" t="n">
        <f aca="false">A1327+1</f>
        <v>1323</v>
      </c>
      <c r="B1328" s="35" t="s">
        <v>1100</v>
      </c>
      <c r="C1328" s="35" t="str">
        <f aca="false">"0035936"</f>
        <v>0035936</v>
      </c>
      <c r="D1328" s="37" t="s">
        <v>1125</v>
      </c>
      <c r="E1328" s="35" t="n">
        <v>2007</v>
      </c>
      <c r="F1328" s="38" t="n">
        <v>1118</v>
      </c>
      <c r="G1328" s="39" t="n">
        <v>2</v>
      </c>
      <c r="H1328" s="40" t="n">
        <v>200</v>
      </c>
    </row>
    <row r="1329" s="33" customFormat="true" ht="14.25" hidden="false" customHeight="false" outlineLevel="0" collapsed="false">
      <c r="A1329" s="34" t="n">
        <f aca="false">A1328+1</f>
        <v>1324</v>
      </c>
      <c r="B1329" s="35" t="s">
        <v>1100</v>
      </c>
      <c r="C1329" s="35" t="str">
        <f aca="false">"0035938"</f>
        <v>0035938</v>
      </c>
      <c r="D1329" s="37" t="s">
        <v>1126</v>
      </c>
      <c r="E1329" s="35" t="n">
        <v>2007</v>
      </c>
      <c r="F1329" s="38" t="n">
        <v>1317</v>
      </c>
      <c r="G1329" s="39" t="n">
        <v>1</v>
      </c>
      <c r="H1329" s="40" t="n">
        <v>120</v>
      </c>
    </row>
    <row r="1330" s="33" customFormat="true" ht="14.25" hidden="false" customHeight="false" outlineLevel="0" collapsed="false">
      <c r="A1330" s="34" t="n">
        <f aca="false">A1329+1</f>
        <v>1325</v>
      </c>
      <c r="B1330" s="35" t="s">
        <v>1100</v>
      </c>
      <c r="C1330" s="35" t="str">
        <f aca="false">"0035971"</f>
        <v>0035971</v>
      </c>
      <c r="D1330" s="37" t="s">
        <v>1127</v>
      </c>
      <c r="E1330" s="35" t="n">
        <v>2007</v>
      </c>
      <c r="F1330" s="38" t="n">
        <v>1820</v>
      </c>
      <c r="G1330" s="39" t="n">
        <v>1</v>
      </c>
      <c r="H1330" s="40" t="n">
        <v>115</v>
      </c>
    </row>
    <row r="1331" s="33" customFormat="true" ht="14.25" hidden="false" customHeight="false" outlineLevel="0" collapsed="false">
      <c r="A1331" s="34" t="n">
        <f aca="false">A1330+1</f>
        <v>1326</v>
      </c>
      <c r="B1331" s="35" t="s">
        <v>1100</v>
      </c>
      <c r="C1331" s="35" t="str">
        <f aca="false">"0036925"</f>
        <v>0036925</v>
      </c>
      <c r="D1331" s="37" t="s">
        <v>210</v>
      </c>
      <c r="E1331" s="35" t="n">
        <v>2008</v>
      </c>
      <c r="F1331" s="38" t="n">
        <v>4897.87</v>
      </c>
      <c r="G1331" s="39" t="n">
        <v>1</v>
      </c>
      <c r="H1331" s="40" t="n">
        <v>310</v>
      </c>
    </row>
    <row r="1332" s="33" customFormat="true" ht="14.25" hidden="false" customHeight="false" outlineLevel="0" collapsed="false">
      <c r="A1332" s="34" t="n">
        <f aca="false">A1331+1</f>
        <v>1327</v>
      </c>
      <c r="B1332" s="35" t="s">
        <v>1100</v>
      </c>
      <c r="C1332" s="35" t="str">
        <f aca="false">"0037536"</f>
        <v>0037536</v>
      </c>
      <c r="D1332" s="37" t="s">
        <v>274</v>
      </c>
      <c r="E1332" s="35" t="n">
        <v>2008</v>
      </c>
      <c r="F1332" s="38" t="n">
        <v>1790</v>
      </c>
      <c r="G1332" s="39" t="n">
        <v>1</v>
      </c>
      <c r="H1332" s="40" t="n">
        <v>110</v>
      </c>
    </row>
    <row r="1333" s="33" customFormat="true" ht="14.25" hidden="false" customHeight="false" outlineLevel="0" collapsed="false">
      <c r="A1333" s="34" t="n">
        <f aca="false">A1332+1</f>
        <v>1328</v>
      </c>
      <c r="B1333" s="35" t="s">
        <v>1100</v>
      </c>
      <c r="C1333" s="35" t="str">
        <f aca="false">"0037818"</f>
        <v>0037818</v>
      </c>
      <c r="D1333" s="37" t="s">
        <v>1128</v>
      </c>
      <c r="E1333" s="35" t="n">
        <v>2008</v>
      </c>
      <c r="F1333" s="38" t="n">
        <v>5500</v>
      </c>
      <c r="G1333" s="39" t="n">
        <v>1</v>
      </c>
      <c r="H1333" s="40" t="n">
        <v>350</v>
      </c>
    </row>
    <row r="1334" s="33" customFormat="true" ht="14.25" hidden="false" customHeight="false" outlineLevel="0" collapsed="false">
      <c r="A1334" s="34" t="n">
        <f aca="false">A1333+1</f>
        <v>1329</v>
      </c>
      <c r="B1334" s="35" t="s">
        <v>1100</v>
      </c>
      <c r="C1334" s="35" t="str">
        <f aca="false">"0041912"</f>
        <v>0041912</v>
      </c>
      <c r="D1334" s="37" t="s">
        <v>1129</v>
      </c>
      <c r="E1334" s="35" t="n">
        <v>2012</v>
      </c>
      <c r="F1334" s="38" t="n">
        <f aca="false">16500*7.5</f>
        <v>123750</v>
      </c>
      <c r="G1334" s="39" t="n">
        <v>1</v>
      </c>
      <c r="H1334" s="40" t="n">
        <v>29200</v>
      </c>
    </row>
    <row r="1335" s="33" customFormat="true" ht="14.25" hidden="false" customHeight="false" outlineLevel="0" collapsed="false">
      <c r="A1335" s="34" t="n">
        <f aca="false">A1334+1</f>
        <v>1330</v>
      </c>
      <c r="B1335" s="35" t="s">
        <v>1100</v>
      </c>
      <c r="C1335" s="35" t="str">
        <f aca="false">"0042798"</f>
        <v>0042798</v>
      </c>
      <c r="D1335" s="37" t="s">
        <v>1130</v>
      </c>
      <c r="E1335" s="35" t="n">
        <v>2013</v>
      </c>
      <c r="F1335" s="38" t="n">
        <v>63872</v>
      </c>
      <c r="G1335" s="39" t="n">
        <v>1</v>
      </c>
      <c r="H1335" s="40" t="n">
        <v>18200</v>
      </c>
    </row>
    <row r="1336" s="33" customFormat="true" ht="14.25" hidden="false" customHeight="false" outlineLevel="0" collapsed="false">
      <c r="A1336" s="34" t="n">
        <f aca="false">A1335+1</f>
        <v>1331</v>
      </c>
      <c r="B1336" s="35" t="s">
        <v>1100</v>
      </c>
      <c r="C1336" s="35" t="str">
        <f aca="false">"0049816"</f>
        <v>0049816</v>
      </c>
      <c r="D1336" s="37" t="s">
        <v>181</v>
      </c>
      <c r="E1336" s="35" t="n">
        <v>2017</v>
      </c>
      <c r="F1336" s="38" t="n">
        <v>821.44</v>
      </c>
      <c r="G1336" s="39" t="n">
        <v>2</v>
      </c>
      <c r="H1336" s="40" t="n">
        <v>800</v>
      </c>
    </row>
    <row r="1337" s="33" customFormat="true" ht="14.25" hidden="false" customHeight="false" outlineLevel="0" collapsed="false">
      <c r="A1337" s="34" t="n">
        <f aca="false">A1336+1</f>
        <v>1332</v>
      </c>
      <c r="B1337" s="35" t="s">
        <v>1100</v>
      </c>
      <c r="C1337" s="35" t="str">
        <f aca="false">"0090318"</f>
        <v>0090318</v>
      </c>
      <c r="D1337" s="37" t="s">
        <v>1131</v>
      </c>
      <c r="E1337" s="35" t="n">
        <v>2000</v>
      </c>
      <c r="F1337" s="38" t="n">
        <v>5325</v>
      </c>
      <c r="G1337" s="39" t="n">
        <v>1</v>
      </c>
      <c r="H1337" s="40" t="n">
        <v>390</v>
      </c>
    </row>
    <row r="1338" s="33" customFormat="true" ht="14.25" hidden="false" customHeight="false" outlineLevel="0" collapsed="false">
      <c r="A1338" s="34" t="n">
        <f aca="false">A1337+1</f>
        <v>1333</v>
      </c>
      <c r="B1338" s="35" t="s">
        <v>1132</v>
      </c>
      <c r="C1338" s="35" t="str">
        <f aca="false">"0002526"</f>
        <v>0002526</v>
      </c>
      <c r="D1338" s="37" t="s">
        <v>1133</v>
      </c>
      <c r="E1338" s="35" t="n">
        <v>1987</v>
      </c>
      <c r="F1338" s="38" t="n">
        <f aca="false">488514.87*1.2</f>
        <v>586217.844</v>
      </c>
      <c r="G1338" s="39" t="n">
        <v>1</v>
      </c>
      <c r="H1338" s="40" t="n">
        <v>30760</v>
      </c>
    </row>
    <row r="1339" s="33" customFormat="true" ht="14.25" hidden="false" customHeight="false" outlineLevel="0" collapsed="false">
      <c r="A1339" s="34" t="n">
        <f aca="false">A1338+1</f>
        <v>1334</v>
      </c>
      <c r="B1339" s="35" t="s">
        <v>1132</v>
      </c>
      <c r="C1339" s="35" t="str">
        <f aca="false">"0005415"</f>
        <v>0005415</v>
      </c>
      <c r="D1339" s="37" t="s">
        <v>1134</v>
      </c>
      <c r="E1339" s="35" t="n">
        <v>1982</v>
      </c>
      <c r="F1339" s="38" t="n">
        <f aca="false">977029.75*1.2</f>
        <v>1172435.7</v>
      </c>
      <c r="G1339" s="39" t="n">
        <v>1</v>
      </c>
      <c r="H1339" s="40" t="n">
        <v>55900</v>
      </c>
    </row>
    <row r="1340" s="33" customFormat="true" ht="14.25" hidden="false" customHeight="false" outlineLevel="0" collapsed="false">
      <c r="A1340" s="34" t="n">
        <f aca="false">A1339+1</f>
        <v>1335</v>
      </c>
      <c r="B1340" s="35" t="s">
        <v>1132</v>
      </c>
      <c r="C1340" s="35" t="str">
        <f aca="false">"0034224"</f>
        <v>0034224</v>
      </c>
      <c r="D1340" s="37" t="s">
        <v>1135</v>
      </c>
      <c r="E1340" s="35" t="n">
        <v>2005</v>
      </c>
      <c r="F1340" s="38" t="n">
        <v>2195</v>
      </c>
      <c r="G1340" s="39" t="n">
        <v>1</v>
      </c>
      <c r="H1340" s="40" t="n">
        <v>200</v>
      </c>
    </row>
    <row r="1341" s="33" customFormat="true" ht="14.25" hidden="false" customHeight="false" outlineLevel="0" collapsed="false">
      <c r="A1341" s="34" t="n">
        <f aca="false">A1340+1</f>
        <v>1336</v>
      </c>
      <c r="B1341" s="35" t="s">
        <v>1136</v>
      </c>
      <c r="C1341" s="35" t="str">
        <f aca="false">"0004106"</f>
        <v>0004106</v>
      </c>
      <c r="D1341" s="37" t="s">
        <v>42</v>
      </c>
      <c r="E1341" s="35" t="n">
        <v>1987</v>
      </c>
      <c r="F1341" s="38" t="n">
        <v>56.29</v>
      </c>
      <c r="G1341" s="39" t="n">
        <v>2</v>
      </c>
      <c r="H1341" s="40" t="n">
        <v>10</v>
      </c>
    </row>
    <row r="1342" s="33" customFormat="true" ht="14.25" hidden="false" customHeight="false" outlineLevel="0" collapsed="false">
      <c r="A1342" s="34" t="n">
        <f aca="false">A1341+1</f>
        <v>1337</v>
      </c>
      <c r="B1342" s="35" t="s">
        <v>1136</v>
      </c>
      <c r="C1342" s="35" t="str">
        <f aca="false">"0006401"</f>
        <v>0006401</v>
      </c>
      <c r="D1342" s="37" t="s">
        <v>301</v>
      </c>
      <c r="E1342" s="35" t="n">
        <v>1987</v>
      </c>
      <c r="F1342" s="38" t="n">
        <v>28.14</v>
      </c>
      <c r="G1342" s="39" t="n">
        <v>2</v>
      </c>
      <c r="H1342" s="40" t="n">
        <v>10</v>
      </c>
    </row>
    <row r="1343" s="33" customFormat="true" ht="14.25" hidden="false" customHeight="false" outlineLevel="0" collapsed="false">
      <c r="A1343" s="34" t="n">
        <f aca="false">A1342+1</f>
        <v>1338</v>
      </c>
      <c r="B1343" s="35" t="s">
        <v>1136</v>
      </c>
      <c r="C1343" s="35" t="str">
        <f aca="false">"0007459"</f>
        <v>0007459</v>
      </c>
      <c r="D1343" s="37" t="s">
        <v>114</v>
      </c>
      <c r="E1343" s="35" t="n">
        <v>1987</v>
      </c>
      <c r="F1343" s="38" t="n">
        <v>33.77</v>
      </c>
      <c r="G1343" s="39" t="n">
        <v>2</v>
      </c>
      <c r="H1343" s="40" t="n">
        <v>10</v>
      </c>
    </row>
    <row r="1344" s="33" customFormat="true" ht="14.25" hidden="false" customHeight="false" outlineLevel="0" collapsed="false">
      <c r="A1344" s="34" t="n">
        <f aca="false">A1343+1</f>
        <v>1339</v>
      </c>
      <c r="B1344" s="35" t="s">
        <v>1136</v>
      </c>
      <c r="C1344" s="35" t="str">
        <f aca="false">"0011204"</f>
        <v>0011204</v>
      </c>
      <c r="D1344" s="37" t="s">
        <v>311</v>
      </c>
      <c r="E1344" s="35" t="n">
        <v>1987</v>
      </c>
      <c r="F1344" s="38" t="n">
        <v>22.51</v>
      </c>
      <c r="G1344" s="39" t="n">
        <v>1</v>
      </c>
      <c r="H1344" s="40" t="n">
        <v>5</v>
      </c>
    </row>
    <row r="1345" s="33" customFormat="true" ht="14.25" hidden="false" customHeight="false" outlineLevel="0" collapsed="false">
      <c r="A1345" s="34" t="n">
        <f aca="false">A1344+1</f>
        <v>1340</v>
      </c>
      <c r="B1345" s="35" t="s">
        <v>1136</v>
      </c>
      <c r="C1345" s="35" t="str">
        <f aca="false">"0012339"</f>
        <v>0012339</v>
      </c>
      <c r="D1345" s="37" t="s">
        <v>308</v>
      </c>
      <c r="E1345" s="35" t="n">
        <v>1987</v>
      </c>
      <c r="F1345" s="38" t="n">
        <v>33.77</v>
      </c>
      <c r="G1345" s="39" t="n">
        <v>1</v>
      </c>
      <c r="H1345" s="40" t="n">
        <v>5</v>
      </c>
    </row>
    <row r="1346" s="33" customFormat="true" ht="14.25" hidden="false" customHeight="false" outlineLevel="0" collapsed="false">
      <c r="A1346" s="34" t="n">
        <f aca="false">A1345+1</f>
        <v>1341</v>
      </c>
      <c r="B1346" s="35" t="s">
        <v>1136</v>
      </c>
      <c r="C1346" s="35" t="str">
        <f aca="false">"0012834"</f>
        <v>0012834</v>
      </c>
      <c r="D1346" s="37" t="s">
        <v>1137</v>
      </c>
      <c r="E1346" s="35" t="n">
        <v>2002</v>
      </c>
      <c r="F1346" s="38" t="n">
        <v>3800</v>
      </c>
      <c r="G1346" s="39" t="n">
        <v>2</v>
      </c>
      <c r="H1346" s="40" t="n">
        <v>460</v>
      </c>
    </row>
    <row r="1347" s="33" customFormat="true" ht="14.25" hidden="false" customHeight="false" outlineLevel="0" collapsed="false">
      <c r="A1347" s="34" t="n">
        <f aca="false">A1346+1</f>
        <v>1342</v>
      </c>
      <c r="B1347" s="35" t="s">
        <v>1136</v>
      </c>
      <c r="C1347" s="35" t="str">
        <f aca="false">"0013128"</f>
        <v>0013128</v>
      </c>
      <c r="D1347" s="37" t="s">
        <v>1138</v>
      </c>
      <c r="E1347" s="35" t="n">
        <v>2002</v>
      </c>
      <c r="F1347" s="38" t="n">
        <v>54286.86</v>
      </c>
      <c r="G1347" s="39" t="n">
        <v>1</v>
      </c>
      <c r="H1347" s="40" t="n">
        <v>3475</v>
      </c>
    </row>
    <row r="1348" s="33" customFormat="true" ht="14.25" hidden="false" customHeight="false" outlineLevel="0" collapsed="false">
      <c r="A1348" s="34" t="n">
        <f aca="false">A1347+1</f>
        <v>1343</v>
      </c>
      <c r="B1348" s="35" t="s">
        <v>1136</v>
      </c>
      <c r="C1348" s="35" t="str">
        <f aca="false">"0013136"</f>
        <v>0013136</v>
      </c>
      <c r="D1348" s="37" t="s">
        <v>42</v>
      </c>
      <c r="E1348" s="35" t="n">
        <v>1987</v>
      </c>
      <c r="F1348" s="38" t="n">
        <v>151.97</v>
      </c>
      <c r="G1348" s="39" t="n">
        <v>1</v>
      </c>
      <c r="H1348" s="40" t="n">
        <v>5</v>
      </c>
    </row>
    <row r="1349" s="33" customFormat="true" ht="14.25" hidden="false" customHeight="false" outlineLevel="0" collapsed="false">
      <c r="A1349" s="34" t="n">
        <f aca="false">A1348+1</f>
        <v>1344</v>
      </c>
      <c r="B1349" s="35" t="s">
        <v>1136</v>
      </c>
      <c r="C1349" s="35" t="str">
        <f aca="false">"0013474"</f>
        <v>0013474</v>
      </c>
      <c r="D1349" s="37" t="s">
        <v>158</v>
      </c>
      <c r="E1349" s="35" t="n">
        <v>2003</v>
      </c>
      <c r="F1349" s="38" t="n">
        <v>914.19</v>
      </c>
      <c r="G1349" s="39" t="n">
        <v>1</v>
      </c>
      <c r="H1349" s="40" t="n">
        <v>50</v>
      </c>
    </row>
    <row r="1350" s="33" customFormat="true" ht="14.25" hidden="false" customHeight="false" outlineLevel="0" collapsed="false">
      <c r="A1350" s="34" t="n">
        <f aca="false">A1349+1</f>
        <v>1345</v>
      </c>
      <c r="B1350" s="35" t="s">
        <v>1136</v>
      </c>
      <c r="C1350" s="35" t="str">
        <f aca="false">"0014257"</f>
        <v>0014257</v>
      </c>
      <c r="D1350" s="37" t="s">
        <v>1139</v>
      </c>
      <c r="E1350" s="35" t="n">
        <v>2004</v>
      </c>
      <c r="F1350" s="38" t="n">
        <v>11211</v>
      </c>
      <c r="G1350" s="39" t="n">
        <v>1</v>
      </c>
      <c r="H1350" s="40" t="n">
        <v>660</v>
      </c>
    </row>
    <row r="1351" s="33" customFormat="true" ht="14.25" hidden="false" customHeight="false" outlineLevel="0" collapsed="false">
      <c r="A1351" s="34" t="n">
        <f aca="false">A1350+1</f>
        <v>1346</v>
      </c>
      <c r="B1351" s="35" t="s">
        <v>1136</v>
      </c>
      <c r="C1351" s="35" t="str">
        <f aca="false">"0014931"</f>
        <v>0014931</v>
      </c>
      <c r="D1351" s="37" t="s">
        <v>1140</v>
      </c>
      <c r="E1351" s="35" t="n">
        <v>2005</v>
      </c>
      <c r="F1351" s="38" t="n">
        <v>4013</v>
      </c>
      <c r="G1351" s="39" t="n">
        <v>1</v>
      </c>
      <c r="H1351" s="40" t="n">
        <v>240</v>
      </c>
    </row>
    <row r="1352" s="33" customFormat="true" ht="14.25" hidden="false" customHeight="false" outlineLevel="0" collapsed="false">
      <c r="A1352" s="34" t="n">
        <f aca="false">A1351+1</f>
        <v>1347</v>
      </c>
      <c r="B1352" s="35" t="s">
        <v>1136</v>
      </c>
      <c r="C1352" s="35" t="str">
        <f aca="false">"0015002"</f>
        <v>0015002</v>
      </c>
      <c r="D1352" s="37" t="s">
        <v>42</v>
      </c>
      <c r="E1352" s="35" t="n">
        <v>1987</v>
      </c>
      <c r="F1352" s="38" t="n">
        <v>174.49</v>
      </c>
      <c r="G1352" s="39" t="n">
        <v>2</v>
      </c>
      <c r="H1352" s="40" t="n">
        <v>10</v>
      </c>
    </row>
    <row r="1353" s="33" customFormat="true" ht="14.25" hidden="false" customHeight="false" outlineLevel="0" collapsed="false">
      <c r="A1353" s="34" t="n">
        <f aca="false">A1352+1</f>
        <v>1348</v>
      </c>
      <c r="B1353" s="35" t="s">
        <v>1136</v>
      </c>
      <c r="C1353" s="35" t="str">
        <f aca="false">"0015134"</f>
        <v>0015134</v>
      </c>
      <c r="D1353" s="37" t="s">
        <v>308</v>
      </c>
      <c r="E1353" s="35" t="n">
        <v>1987</v>
      </c>
      <c r="F1353" s="38" t="n">
        <v>90.06</v>
      </c>
      <c r="G1353" s="39" t="n">
        <v>3</v>
      </c>
      <c r="H1353" s="40" t="n">
        <v>15</v>
      </c>
    </row>
    <row r="1354" s="33" customFormat="true" ht="14.25" hidden="false" customHeight="false" outlineLevel="0" collapsed="false">
      <c r="A1354" s="34" t="n">
        <f aca="false">A1353+1</f>
        <v>1349</v>
      </c>
      <c r="B1354" s="35" t="s">
        <v>1136</v>
      </c>
      <c r="C1354" s="35" t="str">
        <f aca="false">"0015152"</f>
        <v>0015152</v>
      </c>
      <c r="D1354" s="37" t="s">
        <v>1141</v>
      </c>
      <c r="E1354" s="35" t="n">
        <v>2005</v>
      </c>
      <c r="F1354" s="38" t="n">
        <v>8100</v>
      </c>
      <c r="G1354" s="39" t="n">
        <v>1</v>
      </c>
      <c r="H1354" s="40" t="n">
        <v>830</v>
      </c>
    </row>
    <row r="1355" s="33" customFormat="true" ht="14.25" hidden="false" customHeight="false" outlineLevel="0" collapsed="false">
      <c r="A1355" s="34" t="n">
        <f aca="false">A1354+1</f>
        <v>1350</v>
      </c>
      <c r="B1355" s="35" t="s">
        <v>1136</v>
      </c>
      <c r="C1355" s="35" t="str">
        <f aca="false">"0015341"</f>
        <v>0015341</v>
      </c>
      <c r="D1355" s="37" t="s">
        <v>1142</v>
      </c>
      <c r="E1355" s="35" t="n">
        <v>2005</v>
      </c>
      <c r="F1355" s="38" t="n">
        <v>13306.7</v>
      </c>
      <c r="G1355" s="39" t="n">
        <v>6</v>
      </c>
      <c r="H1355" s="40" t="n">
        <v>8160</v>
      </c>
    </row>
    <row r="1356" s="33" customFormat="true" ht="14.25" hidden="false" customHeight="false" outlineLevel="0" collapsed="false">
      <c r="A1356" s="34" t="n">
        <f aca="false">A1355+1</f>
        <v>1351</v>
      </c>
      <c r="B1356" s="35" t="s">
        <v>1136</v>
      </c>
      <c r="C1356" s="35" t="str">
        <f aca="false">"0015724"</f>
        <v>0015724</v>
      </c>
      <c r="D1356" s="37" t="s">
        <v>1143</v>
      </c>
      <c r="E1356" s="35" t="n">
        <v>2006</v>
      </c>
      <c r="F1356" s="38" t="n">
        <v>2390</v>
      </c>
      <c r="G1356" s="39" t="n">
        <v>1</v>
      </c>
      <c r="H1356" s="40" t="n">
        <v>200</v>
      </c>
    </row>
    <row r="1357" s="33" customFormat="true" ht="14.25" hidden="false" customHeight="false" outlineLevel="0" collapsed="false">
      <c r="A1357" s="34" t="n">
        <f aca="false">A1356+1</f>
        <v>1352</v>
      </c>
      <c r="B1357" s="35" t="s">
        <v>1136</v>
      </c>
      <c r="C1357" s="35" t="str">
        <f aca="false">"0016278"</f>
        <v>0016278</v>
      </c>
      <c r="D1357" s="37" t="s">
        <v>1144</v>
      </c>
      <c r="E1357" s="35" t="n">
        <v>2006</v>
      </c>
      <c r="F1357" s="38" t="n">
        <v>3830</v>
      </c>
      <c r="G1357" s="39" t="n">
        <v>1</v>
      </c>
      <c r="H1357" s="40" t="n">
        <v>320</v>
      </c>
    </row>
    <row r="1358" s="33" customFormat="true" ht="14.25" hidden="false" customHeight="false" outlineLevel="0" collapsed="false">
      <c r="A1358" s="34" t="n">
        <f aca="false">A1357+1</f>
        <v>1353</v>
      </c>
      <c r="B1358" s="35" t="s">
        <v>1136</v>
      </c>
      <c r="C1358" s="35" t="str">
        <f aca="false">"0017797"</f>
        <v>0017797</v>
      </c>
      <c r="D1358" s="37" t="s">
        <v>42</v>
      </c>
      <c r="E1358" s="35" t="n">
        <v>1987</v>
      </c>
      <c r="F1358" s="38" t="n">
        <v>157.6</v>
      </c>
      <c r="G1358" s="39" t="n">
        <v>2</v>
      </c>
      <c r="H1358" s="40" t="n">
        <v>10</v>
      </c>
    </row>
    <row r="1359" s="33" customFormat="true" ht="14.25" hidden="false" customHeight="false" outlineLevel="0" collapsed="false">
      <c r="A1359" s="34" t="n">
        <f aca="false">A1358+1</f>
        <v>1354</v>
      </c>
      <c r="B1359" s="35" t="s">
        <v>1136</v>
      </c>
      <c r="C1359" s="35" t="str">
        <f aca="false">"0018132"</f>
        <v>0018132</v>
      </c>
      <c r="D1359" s="37" t="s">
        <v>42</v>
      </c>
      <c r="E1359" s="35" t="n">
        <v>1987</v>
      </c>
      <c r="F1359" s="38" t="n">
        <v>151.97</v>
      </c>
      <c r="G1359" s="39" t="n">
        <v>2</v>
      </c>
      <c r="H1359" s="40" t="n">
        <v>10</v>
      </c>
    </row>
    <row r="1360" s="33" customFormat="true" ht="14.25" hidden="false" customHeight="false" outlineLevel="0" collapsed="false">
      <c r="A1360" s="34" t="n">
        <f aca="false">A1359+1</f>
        <v>1355</v>
      </c>
      <c r="B1360" s="35" t="s">
        <v>1136</v>
      </c>
      <c r="C1360" s="35" t="str">
        <f aca="false">"0019583"</f>
        <v>0019583</v>
      </c>
      <c r="D1360" s="37" t="s">
        <v>1116</v>
      </c>
      <c r="E1360" s="35" t="n">
        <v>1977</v>
      </c>
      <c r="F1360" s="38" t="n">
        <v>129.46</v>
      </c>
      <c r="G1360" s="39" t="n">
        <v>3</v>
      </c>
      <c r="H1360" s="40" t="n">
        <v>15</v>
      </c>
    </row>
    <row r="1361" s="33" customFormat="true" ht="14.25" hidden="false" customHeight="false" outlineLevel="0" collapsed="false">
      <c r="A1361" s="34" t="n">
        <f aca="false">A1360+1</f>
        <v>1356</v>
      </c>
      <c r="B1361" s="35" t="s">
        <v>1136</v>
      </c>
      <c r="C1361" s="35" t="str">
        <f aca="false">"0020065"</f>
        <v>0020065</v>
      </c>
      <c r="D1361" s="37" t="s">
        <v>42</v>
      </c>
      <c r="E1361" s="35" t="n">
        <v>1978</v>
      </c>
      <c r="F1361" s="38" t="n">
        <v>242.03</v>
      </c>
      <c r="G1361" s="39" t="n">
        <v>2</v>
      </c>
      <c r="H1361" s="40" t="n">
        <v>10</v>
      </c>
    </row>
    <row r="1362" s="33" customFormat="true" ht="14.25" hidden="false" customHeight="false" outlineLevel="0" collapsed="false">
      <c r="A1362" s="34" t="n">
        <f aca="false">A1361+1</f>
        <v>1357</v>
      </c>
      <c r="B1362" s="35" t="s">
        <v>1136</v>
      </c>
      <c r="C1362" s="35" t="str">
        <f aca="false">"0020862"</f>
        <v>0020862</v>
      </c>
      <c r="D1362" s="37" t="s">
        <v>205</v>
      </c>
      <c r="E1362" s="35" t="n">
        <v>1979</v>
      </c>
      <c r="F1362" s="38" t="n">
        <v>2690.52</v>
      </c>
      <c r="G1362" s="39" t="n">
        <v>2</v>
      </c>
      <c r="H1362" s="40" t="n">
        <v>220</v>
      </c>
    </row>
    <row r="1363" s="33" customFormat="true" ht="14.25" hidden="false" customHeight="false" outlineLevel="0" collapsed="false">
      <c r="A1363" s="34" t="n">
        <f aca="false">A1362+1</f>
        <v>1358</v>
      </c>
      <c r="B1363" s="35" t="s">
        <v>1136</v>
      </c>
      <c r="C1363" s="35" t="str">
        <f aca="false">"0020930"</f>
        <v>0020930</v>
      </c>
      <c r="D1363" s="37" t="s">
        <v>204</v>
      </c>
      <c r="E1363" s="35" t="n">
        <v>1979</v>
      </c>
      <c r="F1363" s="38" t="n">
        <v>7930.84</v>
      </c>
      <c r="G1363" s="39" t="n">
        <v>1</v>
      </c>
      <c r="H1363" s="40" t="n">
        <v>300</v>
      </c>
    </row>
    <row r="1364" s="33" customFormat="true" ht="14.25" hidden="false" customHeight="false" outlineLevel="0" collapsed="false">
      <c r="A1364" s="34" t="n">
        <f aca="false">A1363+1</f>
        <v>1359</v>
      </c>
      <c r="B1364" s="35" t="s">
        <v>1136</v>
      </c>
      <c r="C1364" s="35" t="str">
        <f aca="false">"0021300"</f>
        <v>0021300</v>
      </c>
      <c r="D1364" s="37" t="s">
        <v>42</v>
      </c>
      <c r="E1364" s="35" t="n">
        <v>1979</v>
      </c>
      <c r="F1364" s="38" t="n">
        <v>3968.23</v>
      </c>
      <c r="G1364" s="39" t="n">
        <v>2</v>
      </c>
      <c r="H1364" s="40" t="n">
        <v>320</v>
      </c>
    </row>
    <row r="1365" s="33" customFormat="true" ht="14.25" hidden="false" customHeight="false" outlineLevel="0" collapsed="false">
      <c r="A1365" s="34" t="n">
        <f aca="false">A1364+1</f>
        <v>1360</v>
      </c>
      <c r="B1365" s="35" t="s">
        <v>1136</v>
      </c>
      <c r="C1365" s="35" t="str">
        <f aca="false">"0025866"</f>
        <v>0025866</v>
      </c>
      <c r="D1365" s="37" t="s">
        <v>42</v>
      </c>
      <c r="E1365" s="35" t="n">
        <v>1985</v>
      </c>
      <c r="F1365" s="38" t="n">
        <v>5386.67</v>
      </c>
      <c r="G1365" s="39" t="n">
        <v>6</v>
      </c>
      <c r="H1365" s="40" t="n">
        <v>1500</v>
      </c>
    </row>
    <row r="1366" s="33" customFormat="true" ht="14.25" hidden="false" customHeight="false" outlineLevel="0" collapsed="false">
      <c r="A1366" s="34" t="n">
        <f aca="false">A1365+1</f>
        <v>1361</v>
      </c>
      <c r="B1366" s="35" t="s">
        <v>1136</v>
      </c>
      <c r="C1366" s="35" t="str">
        <f aca="false">"0028236"</f>
        <v>0028236</v>
      </c>
      <c r="D1366" s="37" t="s">
        <v>1145</v>
      </c>
      <c r="E1366" s="35" t="n">
        <v>1986</v>
      </c>
      <c r="F1366" s="38" t="n">
        <v>720.47</v>
      </c>
      <c r="G1366" s="39" t="n">
        <v>2</v>
      </c>
      <c r="H1366" s="40" t="n">
        <v>60</v>
      </c>
    </row>
    <row r="1367" s="33" customFormat="true" ht="14.25" hidden="false" customHeight="false" outlineLevel="0" collapsed="false">
      <c r="A1367" s="34" t="n">
        <f aca="false">A1366+1</f>
        <v>1362</v>
      </c>
      <c r="B1367" s="35" t="s">
        <v>1136</v>
      </c>
      <c r="C1367" s="35" t="str">
        <f aca="false">"0031318"</f>
        <v>0031318</v>
      </c>
      <c r="D1367" s="37" t="s">
        <v>42</v>
      </c>
      <c r="E1367" s="35" t="n">
        <v>1999</v>
      </c>
      <c r="F1367" s="38" t="n">
        <v>140.72</v>
      </c>
      <c r="G1367" s="39" t="n">
        <v>1</v>
      </c>
      <c r="H1367" s="40" t="n">
        <v>5</v>
      </c>
    </row>
    <row r="1368" s="33" customFormat="true" ht="14.25" hidden="false" customHeight="false" outlineLevel="0" collapsed="false">
      <c r="A1368" s="34" t="n">
        <f aca="false">A1367+1</f>
        <v>1363</v>
      </c>
      <c r="B1368" s="35" t="s">
        <v>1136</v>
      </c>
      <c r="C1368" s="35" t="str">
        <f aca="false">"0031319"</f>
        <v>0031319</v>
      </c>
      <c r="D1368" s="37" t="s">
        <v>41</v>
      </c>
      <c r="E1368" s="35" t="n">
        <v>1999</v>
      </c>
      <c r="F1368" s="38" t="n">
        <v>140.72</v>
      </c>
      <c r="G1368" s="39" t="n">
        <v>1</v>
      </c>
      <c r="H1368" s="40" t="n">
        <v>5</v>
      </c>
    </row>
    <row r="1369" s="33" customFormat="true" ht="14.25" hidden="false" customHeight="false" outlineLevel="0" collapsed="false">
      <c r="A1369" s="34" t="n">
        <f aca="false">A1368+1</f>
        <v>1364</v>
      </c>
      <c r="B1369" s="35" t="s">
        <v>1136</v>
      </c>
      <c r="C1369" s="35" t="str">
        <f aca="false">"0034764"</f>
        <v>0034764</v>
      </c>
      <c r="D1369" s="37" t="s">
        <v>1146</v>
      </c>
      <c r="E1369" s="35" t="n">
        <v>2006</v>
      </c>
      <c r="F1369" s="38" t="n">
        <v>2730</v>
      </c>
      <c r="G1369" s="39" t="n">
        <v>1</v>
      </c>
      <c r="H1369" s="40" t="n">
        <v>170</v>
      </c>
    </row>
    <row r="1370" s="33" customFormat="true" ht="14.25" hidden="false" customHeight="false" outlineLevel="0" collapsed="false">
      <c r="A1370" s="34" t="n">
        <f aca="false">A1369+1</f>
        <v>1365</v>
      </c>
      <c r="B1370" s="35" t="s">
        <v>1136</v>
      </c>
      <c r="C1370" s="35" t="str">
        <f aca="false">"0034799"</f>
        <v>0034799</v>
      </c>
      <c r="D1370" s="37" t="s">
        <v>1147</v>
      </c>
      <c r="E1370" s="35" t="n">
        <v>2006</v>
      </c>
      <c r="F1370" s="38" t="n">
        <v>734.6</v>
      </c>
      <c r="G1370" s="39" t="n">
        <v>6</v>
      </c>
      <c r="H1370" s="40" t="n">
        <v>360</v>
      </c>
    </row>
    <row r="1371" s="33" customFormat="true" ht="14.25" hidden="false" customHeight="false" outlineLevel="0" collapsed="false">
      <c r="A1371" s="34" t="n">
        <f aca="false">A1370+1</f>
        <v>1366</v>
      </c>
      <c r="B1371" s="35" t="s">
        <v>1136</v>
      </c>
      <c r="C1371" s="35" t="str">
        <f aca="false">"0034805"</f>
        <v>0034805</v>
      </c>
      <c r="D1371" s="37" t="s">
        <v>1148</v>
      </c>
      <c r="E1371" s="35" t="n">
        <v>2006</v>
      </c>
      <c r="F1371" s="38" t="n">
        <v>2662.8</v>
      </c>
      <c r="G1371" s="39" t="n">
        <v>4</v>
      </c>
      <c r="H1371" s="40" t="n">
        <v>900</v>
      </c>
    </row>
    <row r="1372" s="33" customFormat="true" ht="14.25" hidden="false" customHeight="false" outlineLevel="0" collapsed="false">
      <c r="A1372" s="34" t="n">
        <f aca="false">A1371+1</f>
        <v>1367</v>
      </c>
      <c r="B1372" s="35" t="s">
        <v>1136</v>
      </c>
      <c r="C1372" s="35" t="str">
        <f aca="false">"0034809"</f>
        <v>0034809</v>
      </c>
      <c r="D1372" s="37" t="s">
        <v>1149</v>
      </c>
      <c r="E1372" s="35" t="n">
        <v>2006</v>
      </c>
      <c r="F1372" s="38" t="n">
        <v>1181</v>
      </c>
      <c r="G1372" s="39" t="n">
        <v>1</v>
      </c>
      <c r="H1372" s="40" t="n">
        <v>100</v>
      </c>
    </row>
    <row r="1373" s="33" customFormat="true" ht="14.25" hidden="false" customHeight="false" outlineLevel="0" collapsed="false">
      <c r="A1373" s="34" t="n">
        <f aca="false">A1372+1</f>
        <v>1368</v>
      </c>
      <c r="B1373" s="35" t="s">
        <v>1136</v>
      </c>
      <c r="C1373" s="35" t="str">
        <f aca="false">"0034811"</f>
        <v>0034811</v>
      </c>
      <c r="D1373" s="37" t="s">
        <v>1150</v>
      </c>
      <c r="E1373" s="35" t="n">
        <v>2016</v>
      </c>
      <c r="F1373" s="38" t="n">
        <v>2481.46</v>
      </c>
      <c r="G1373" s="39" t="n">
        <v>1</v>
      </c>
      <c r="H1373" s="40" t="n">
        <v>1080</v>
      </c>
    </row>
    <row r="1374" s="33" customFormat="true" ht="14.25" hidden="false" customHeight="false" outlineLevel="0" collapsed="false">
      <c r="A1374" s="34" t="n">
        <f aca="false">A1373+1</f>
        <v>1369</v>
      </c>
      <c r="B1374" s="35" t="s">
        <v>1136</v>
      </c>
      <c r="C1374" s="35" t="str">
        <f aca="false">"0034812"</f>
        <v>0034812</v>
      </c>
      <c r="D1374" s="37" t="s">
        <v>1151</v>
      </c>
      <c r="E1374" s="35" t="n">
        <v>2016</v>
      </c>
      <c r="F1374" s="38" t="n">
        <v>1300.7</v>
      </c>
      <c r="G1374" s="39" t="n">
        <v>2</v>
      </c>
      <c r="H1374" s="40" t="n">
        <v>1130</v>
      </c>
    </row>
    <row r="1375" s="33" customFormat="true" ht="14.25" hidden="false" customHeight="false" outlineLevel="0" collapsed="false">
      <c r="A1375" s="34" t="n">
        <f aca="false">A1374+1</f>
        <v>1370</v>
      </c>
      <c r="B1375" s="35" t="s">
        <v>1136</v>
      </c>
      <c r="C1375" s="35" t="str">
        <f aca="false">"0034871"</f>
        <v>0034871</v>
      </c>
      <c r="D1375" s="37" t="s">
        <v>1152</v>
      </c>
      <c r="E1375" s="35" t="n">
        <v>2016</v>
      </c>
      <c r="F1375" s="38" t="n">
        <v>1885</v>
      </c>
      <c r="G1375" s="39" t="n">
        <v>2</v>
      </c>
      <c r="H1375" s="40" t="n">
        <v>1380</v>
      </c>
    </row>
    <row r="1376" s="33" customFormat="true" ht="14.25" hidden="false" customHeight="false" outlineLevel="0" collapsed="false">
      <c r="A1376" s="34" t="n">
        <f aca="false">A1375+1</f>
        <v>1371</v>
      </c>
      <c r="B1376" s="35" t="s">
        <v>1136</v>
      </c>
      <c r="C1376" s="35" t="str">
        <f aca="false">"0035014"</f>
        <v>0035014</v>
      </c>
      <c r="D1376" s="37" t="s">
        <v>1153</v>
      </c>
      <c r="E1376" s="35" t="n">
        <v>2007</v>
      </c>
      <c r="F1376" s="38" t="n">
        <v>9700</v>
      </c>
      <c r="G1376" s="39" t="n">
        <v>1</v>
      </c>
      <c r="H1376" s="40" t="n">
        <v>900</v>
      </c>
    </row>
    <row r="1377" s="33" customFormat="true" ht="14.25" hidden="false" customHeight="false" outlineLevel="0" collapsed="false">
      <c r="A1377" s="34" t="n">
        <f aca="false">A1376+1</f>
        <v>1372</v>
      </c>
      <c r="B1377" s="35" t="s">
        <v>1136</v>
      </c>
      <c r="C1377" s="35" t="str">
        <f aca="false">"0035204"</f>
        <v>0035204</v>
      </c>
      <c r="D1377" s="37" t="s">
        <v>1154</v>
      </c>
      <c r="E1377" s="35" t="n">
        <v>2007</v>
      </c>
      <c r="F1377" s="38" t="n">
        <v>4380</v>
      </c>
      <c r="G1377" s="39" t="n">
        <v>1</v>
      </c>
      <c r="H1377" s="40" t="n">
        <v>270</v>
      </c>
    </row>
    <row r="1378" s="33" customFormat="true" ht="14.25" hidden="false" customHeight="false" outlineLevel="0" collapsed="false">
      <c r="A1378" s="34" t="n">
        <f aca="false">A1377+1</f>
        <v>1373</v>
      </c>
      <c r="B1378" s="35" t="s">
        <v>1136</v>
      </c>
      <c r="C1378" s="35" t="str">
        <f aca="false">"0035239"</f>
        <v>0035239</v>
      </c>
      <c r="D1378" s="37" t="s">
        <v>1155</v>
      </c>
      <c r="E1378" s="35" t="n">
        <v>2007</v>
      </c>
      <c r="F1378" s="38" t="n">
        <v>1865</v>
      </c>
      <c r="G1378" s="39" t="n">
        <v>1</v>
      </c>
      <c r="H1378" s="40" t="n">
        <v>115</v>
      </c>
    </row>
    <row r="1379" s="33" customFormat="true" ht="14.25" hidden="false" customHeight="false" outlineLevel="0" collapsed="false">
      <c r="A1379" s="34" t="n">
        <f aca="false">A1378+1</f>
        <v>1374</v>
      </c>
      <c r="B1379" s="35" t="s">
        <v>1136</v>
      </c>
      <c r="C1379" s="35" t="str">
        <f aca="false">"0035575"</f>
        <v>0035575</v>
      </c>
      <c r="D1379" s="37" t="s">
        <v>1156</v>
      </c>
      <c r="E1379" s="35" t="n">
        <v>2007</v>
      </c>
      <c r="F1379" s="38" t="n">
        <v>3790</v>
      </c>
      <c r="G1379" s="39" t="n">
        <v>1</v>
      </c>
      <c r="H1379" s="40" t="n">
        <v>245</v>
      </c>
    </row>
    <row r="1380" s="33" customFormat="true" ht="14.25" hidden="false" customHeight="false" outlineLevel="0" collapsed="false">
      <c r="A1380" s="34" t="n">
        <f aca="false">A1379+1</f>
        <v>1375</v>
      </c>
      <c r="B1380" s="35" t="s">
        <v>1136</v>
      </c>
      <c r="C1380" s="35" t="str">
        <f aca="false">"0035576"</f>
        <v>0035576</v>
      </c>
      <c r="D1380" s="37" t="s">
        <v>1157</v>
      </c>
      <c r="E1380" s="35" t="n">
        <v>2007</v>
      </c>
      <c r="F1380" s="38" t="n">
        <v>17300</v>
      </c>
      <c r="G1380" s="39" t="n">
        <v>1</v>
      </c>
      <c r="H1380" s="40" t="n">
        <v>1110</v>
      </c>
    </row>
    <row r="1381" s="33" customFormat="true" ht="14.25" hidden="false" customHeight="false" outlineLevel="0" collapsed="false">
      <c r="A1381" s="34" t="n">
        <f aca="false">A1380+1</f>
        <v>1376</v>
      </c>
      <c r="B1381" s="35" t="s">
        <v>1136</v>
      </c>
      <c r="C1381" s="35" t="str">
        <f aca="false">"0037534"</f>
        <v>0037534</v>
      </c>
      <c r="D1381" s="37" t="s">
        <v>72</v>
      </c>
      <c r="E1381" s="35" t="n">
        <v>2008</v>
      </c>
      <c r="F1381" s="38" t="n">
        <v>2720.06</v>
      </c>
      <c r="G1381" s="39" t="n">
        <v>1</v>
      </c>
      <c r="H1381" s="40" t="n">
        <v>170</v>
      </c>
    </row>
    <row r="1382" s="33" customFormat="true" ht="14.25" hidden="false" customHeight="false" outlineLevel="0" collapsed="false">
      <c r="A1382" s="34" t="n">
        <f aca="false">A1381+1</f>
        <v>1377</v>
      </c>
      <c r="B1382" s="35" t="s">
        <v>1136</v>
      </c>
      <c r="C1382" s="35" t="str">
        <f aca="false">"0037716"</f>
        <v>0037716</v>
      </c>
      <c r="D1382" s="37" t="s">
        <v>1158</v>
      </c>
      <c r="E1382" s="35" t="n">
        <v>2008</v>
      </c>
      <c r="F1382" s="38" t="n">
        <v>9402</v>
      </c>
      <c r="G1382" s="39" t="n">
        <v>1</v>
      </c>
      <c r="H1382" s="40" t="n">
        <v>1145</v>
      </c>
    </row>
    <row r="1383" s="33" customFormat="true" ht="14.25" hidden="false" customHeight="false" outlineLevel="0" collapsed="false">
      <c r="A1383" s="34" t="n">
        <f aca="false">A1382+1</f>
        <v>1378</v>
      </c>
      <c r="B1383" s="35" t="s">
        <v>1136</v>
      </c>
      <c r="C1383" s="35" t="str">
        <f aca="false">"0037717"</f>
        <v>0037717</v>
      </c>
      <c r="D1383" s="37" t="s">
        <v>1159</v>
      </c>
      <c r="E1383" s="35" t="n">
        <v>2008</v>
      </c>
      <c r="F1383" s="38" t="n">
        <v>9721.5</v>
      </c>
      <c r="G1383" s="39" t="n">
        <v>1</v>
      </c>
      <c r="H1383" s="40" t="n">
        <v>1180</v>
      </c>
    </row>
    <row r="1384" s="33" customFormat="true" ht="14.25" hidden="false" customHeight="false" outlineLevel="0" collapsed="false">
      <c r="A1384" s="34" t="n">
        <f aca="false">A1383+1</f>
        <v>1379</v>
      </c>
      <c r="B1384" s="35" t="s">
        <v>1136</v>
      </c>
      <c r="C1384" s="35" t="str">
        <f aca="false">"0037817"</f>
        <v>0037817</v>
      </c>
      <c r="D1384" s="37" t="s">
        <v>1160</v>
      </c>
      <c r="E1384" s="35" t="n">
        <v>2008</v>
      </c>
      <c r="F1384" s="38" t="n">
        <v>3125</v>
      </c>
      <c r="G1384" s="39" t="n">
        <v>1</v>
      </c>
      <c r="H1384" s="40" t="n">
        <v>200</v>
      </c>
    </row>
    <row r="1385" s="33" customFormat="true" ht="14.25" hidden="false" customHeight="false" outlineLevel="0" collapsed="false">
      <c r="A1385" s="34" t="n">
        <f aca="false">A1384+1</f>
        <v>1380</v>
      </c>
      <c r="B1385" s="35" t="s">
        <v>1136</v>
      </c>
      <c r="C1385" s="35" t="str">
        <f aca="false">"0038434"</f>
        <v>0038434</v>
      </c>
      <c r="D1385" s="37" t="s">
        <v>1161</v>
      </c>
      <c r="E1385" s="35" t="n">
        <v>2008</v>
      </c>
      <c r="F1385" s="38" t="n">
        <v>2825</v>
      </c>
      <c r="G1385" s="39" t="n">
        <v>8</v>
      </c>
      <c r="H1385" s="40" t="n">
        <v>2400</v>
      </c>
    </row>
    <row r="1386" s="33" customFormat="true" ht="14.25" hidden="false" customHeight="false" outlineLevel="0" collapsed="false">
      <c r="A1386" s="34" t="n">
        <f aca="false">A1385+1</f>
        <v>1381</v>
      </c>
      <c r="B1386" s="35" t="s">
        <v>1136</v>
      </c>
      <c r="C1386" s="35" t="str">
        <f aca="false">"0038442"</f>
        <v>0038442</v>
      </c>
      <c r="D1386" s="37" t="s">
        <v>1162</v>
      </c>
      <c r="E1386" s="35" t="n">
        <v>2008</v>
      </c>
      <c r="F1386" s="38" t="n">
        <v>923</v>
      </c>
      <c r="G1386" s="39" t="n">
        <v>8</v>
      </c>
      <c r="H1386" s="40" t="n">
        <v>760</v>
      </c>
    </row>
    <row r="1387" s="33" customFormat="true" ht="14.25" hidden="false" customHeight="false" outlineLevel="0" collapsed="false">
      <c r="A1387" s="34" t="n">
        <f aca="false">A1386+1</f>
        <v>1382</v>
      </c>
      <c r="B1387" s="35" t="s">
        <v>1136</v>
      </c>
      <c r="C1387" s="35" t="str">
        <f aca="false">"0038450"</f>
        <v>0038450</v>
      </c>
      <c r="D1387" s="37" t="s">
        <v>1163</v>
      </c>
      <c r="E1387" s="35" t="n">
        <v>2008</v>
      </c>
      <c r="F1387" s="38" t="n">
        <v>882</v>
      </c>
      <c r="G1387" s="39" t="n">
        <v>1</v>
      </c>
      <c r="H1387" s="40" t="n">
        <v>90</v>
      </c>
    </row>
    <row r="1388" s="33" customFormat="true" ht="14.25" hidden="false" customHeight="false" outlineLevel="0" collapsed="false">
      <c r="A1388" s="46" t="n">
        <f aca="false">A1387+1</f>
        <v>1383</v>
      </c>
      <c r="B1388" s="35" t="s">
        <v>1136</v>
      </c>
      <c r="C1388" s="35" t="str">
        <f aca="false">"0039475"</f>
        <v>0039475</v>
      </c>
      <c r="D1388" s="37" t="s">
        <v>1164</v>
      </c>
      <c r="E1388" s="35" t="n">
        <v>2009</v>
      </c>
      <c r="F1388" s="38" t="n">
        <v>234639.4</v>
      </c>
      <c r="G1388" s="39" t="n">
        <v>1</v>
      </c>
      <c r="H1388" s="40" t="n">
        <v>32300</v>
      </c>
    </row>
    <row r="1389" s="33" customFormat="true" ht="14.25" hidden="false" customHeight="false" outlineLevel="0" collapsed="false">
      <c r="A1389" s="42" t="n">
        <f aca="false">A1388+1</f>
        <v>1384</v>
      </c>
      <c r="B1389" s="35" t="s">
        <v>1136</v>
      </c>
      <c r="C1389" s="35" t="str">
        <f aca="false">"0040963"</f>
        <v>0040963</v>
      </c>
      <c r="D1389" s="37" t="s">
        <v>1165</v>
      </c>
      <c r="E1389" s="35" t="n">
        <v>2010</v>
      </c>
      <c r="F1389" s="38" t="n">
        <v>545.15</v>
      </c>
      <c r="G1389" s="39" t="n">
        <v>1</v>
      </c>
      <c r="H1389" s="40" t="n">
        <v>55</v>
      </c>
    </row>
    <row r="1390" s="33" customFormat="true" ht="14.25" hidden="false" customHeight="false" outlineLevel="0" collapsed="false">
      <c r="A1390" s="34" t="n">
        <f aca="false">A1389+1</f>
        <v>1385</v>
      </c>
      <c r="B1390" s="35" t="s">
        <v>1136</v>
      </c>
      <c r="C1390" s="35" t="str">
        <f aca="false">"0041069"</f>
        <v>0041069</v>
      </c>
      <c r="D1390" s="37" t="s">
        <v>1166</v>
      </c>
      <c r="E1390" s="35" t="n">
        <v>2010</v>
      </c>
      <c r="F1390" s="38" t="n">
        <v>4440</v>
      </c>
      <c r="G1390" s="39" t="n">
        <v>1</v>
      </c>
      <c r="H1390" s="40" t="n">
        <v>230</v>
      </c>
    </row>
    <row r="1391" s="33" customFormat="true" ht="14.25" hidden="false" customHeight="false" outlineLevel="0" collapsed="false">
      <c r="A1391" s="34" t="n">
        <f aca="false">A1390+1</f>
        <v>1386</v>
      </c>
      <c r="B1391" s="35" t="s">
        <v>1136</v>
      </c>
      <c r="C1391" s="35" t="str">
        <f aca="false">"0041147"</f>
        <v>0041147</v>
      </c>
      <c r="D1391" s="37" t="s">
        <v>251</v>
      </c>
      <c r="E1391" s="35" t="n">
        <v>2011</v>
      </c>
      <c r="F1391" s="38" t="n">
        <v>3530.8</v>
      </c>
      <c r="G1391" s="39" t="n">
        <v>2</v>
      </c>
      <c r="H1391" s="40" t="n">
        <v>590</v>
      </c>
    </row>
    <row r="1392" s="33" customFormat="true" ht="14.25" hidden="false" customHeight="false" outlineLevel="0" collapsed="false">
      <c r="A1392" s="34" t="n">
        <f aca="false">A1391+1</f>
        <v>1387</v>
      </c>
      <c r="B1392" s="35" t="s">
        <v>1136</v>
      </c>
      <c r="C1392" s="35" t="str">
        <f aca="false">"0041470"</f>
        <v>0041470</v>
      </c>
      <c r="D1392" s="37" t="s">
        <v>1167</v>
      </c>
      <c r="E1392" s="35" t="n">
        <v>2011</v>
      </c>
      <c r="F1392" s="38" t="n">
        <v>4473.23</v>
      </c>
      <c r="G1392" s="39" t="n">
        <v>1</v>
      </c>
      <c r="H1392" s="40" t="n">
        <v>370</v>
      </c>
    </row>
    <row r="1393" s="33" customFormat="true" ht="14.25" hidden="false" customHeight="false" outlineLevel="0" collapsed="false">
      <c r="A1393" s="34" t="n">
        <f aca="false">A1392+1</f>
        <v>1388</v>
      </c>
      <c r="B1393" s="35" t="s">
        <v>1136</v>
      </c>
      <c r="C1393" s="35" t="str">
        <f aca="false">"0042207"</f>
        <v>0042207</v>
      </c>
      <c r="D1393" s="37" t="s">
        <v>1168</v>
      </c>
      <c r="E1393" s="35" t="n">
        <v>2012</v>
      </c>
      <c r="F1393" s="38" t="n">
        <v>3702.65</v>
      </c>
      <c r="G1393" s="39" t="n">
        <v>1</v>
      </c>
      <c r="H1393" s="40" t="n">
        <v>345</v>
      </c>
    </row>
    <row r="1394" s="33" customFormat="true" ht="14.25" hidden="false" customHeight="false" outlineLevel="0" collapsed="false">
      <c r="A1394" s="34" t="n">
        <f aca="false">A1393+1</f>
        <v>1389</v>
      </c>
      <c r="B1394" s="35" t="s">
        <v>1136</v>
      </c>
      <c r="C1394" s="35" t="str">
        <f aca="false">"0042232"</f>
        <v>0042232</v>
      </c>
      <c r="D1394" s="37" t="s">
        <v>1169</v>
      </c>
      <c r="E1394" s="35" t="n">
        <v>2012</v>
      </c>
      <c r="F1394" s="38" t="n">
        <v>848.32</v>
      </c>
      <c r="G1394" s="39" t="n">
        <v>3</v>
      </c>
      <c r="H1394" s="40" t="n">
        <v>240</v>
      </c>
    </row>
    <row r="1395" s="33" customFormat="true" ht="14.25" hidden="false" customHeight="false" outlineLevel="0" collapsed="false">
      <c r="A1395" s="34" t="n">
        <f aca="false">A1394+1</f>
        <v>1390</v>
      </c>
      <c r="B1395" s="35" t="s">
        <v>1136</v>
      </c>
      <c r="C1395" s="35" t="str">
        <f aca="false">"0044195"</f>
        <v>0044195</v>
      </c>
      <c r="D1395" s="37" t="s">
        <v>1170</v>
      </c>
      <c r="E1395" s="35" t="n">
        <v>2014</v>
      </c>
      <c r="F1395" s="38" t="n">
        <v>14856.7</v>
      </c>
      <c r="G1395" s="39" t="n">
        <v>1</v>
      </c>
      <c r="H1395" s="40" t="n">
        <v>1665</v>
      </c>
    </row>
    <row r="1396" s="33" customFormat="true" ht="14.25" hidden="false" customHeight="false" outlineLevel="0" collapsed="false">
      <c r="A1396" s="34" t="n">
        <f aca="false">A1395+1</f>
        <v>1391</v>
      </c>
      <c r="B1396" s="35" t="s">
        <v>1136</v>
      </c>
      <c r="C1396" s="35" t="str">
        <f aca="false">"0044196"</f>
        <v>0044196</v>
      </c>
      <c r="D1396" s="37" t="s">
        <v>1171</v>
      </c>
      <c r="E1396" s="35" t="n">
        <v>2014</v>
      </c>
      <c r="F1396" s="38" t="n">
        <v>991.2</v>
      </c>
      <c r="G1396" s="39" t="n">
        <v>1</v>
      </c>
      <c r="H1396" s="40" t="n">
        <v>110</v>
      </c>
    </row>
    <row r="1397" s="33" customFormat="true" ht="14.25" hidden="false" customHeight="false" outlineLevel="0" collapsed="false">
      <c r="A1397" s="34" t="n">
        <f aca="false">A1396+1</f>
        <v>1392</v>
      </c>
      <c r="B1397" s="35" t="s">
        <v>1136</v>
      </c>
      <c r="C1397" s="35" t="str">
        <f aca="false">"0044466"</f>
        <v>0044466</v>
      </c>
      <c r="D1397" s="37" t="s">
        <v>1172</v>
      </c>
      <c r="E1397" s="35" t="n">
        <v>2015</v>
      </c>
      <c r="F1397" s="38" t="n">
        <v>1776.2</v>
      </c>
      <c r="G1397" s="39" t="n">
        <v>1</v>
      </c>
      <c r="H1397" s="40" t="n">
        <v>500</v>
      </c>
    </row>
    <row r="1398" s="33" customFormat="true" ht="14.25" hidden="false" customHeight="false" outlineLevel="0" collapsed="false">
      <c r="A1398" s="34" t="n">
        <f aca="false">A1397+1</f>
        <v>1393</v>
      </c>
      <c r="B1398" s="35" t="s">
        <v>1136</v>
      </c>
      <c r="C1398" s="35" t="str">
        <f aca="false">"0045417"</f>
        <v>0045417</v>
      </c>
      <c r="D1398" s="37" t="s">
        <v>1173</v>
      </c>
      <c r="E1398" s="35" t="n">
        <v>2016</v>
      </c>
      <c r="F1398" s="38" t="n">
        <v>2146.4</v>
      </c>
      <c r="G1398" s="39" t="n">
        <v>3</v>
      </c>
      <c r="H1398" s="40" t="n">
        <v>2355</v>
      </c>
    </row>
    <row r="1399" s="33" customFormat="true" ht="14.25" hidden="false" customHeight="false" outlineLevel="0" collapsed="false">
      <c r="A1399" s="34" t="n">
        <f aca="false">A1398+1</f>
        <v>1394</v>
      </c>
      <c r="B1399" s="35" t="s">
        <v>1136</v>
      </c>
      <c r="C1399" s="35" t="str">
        <f aca="false">"0090578"</f>
        <v>0090578</v>
      </c>
      <c r="D1399" s="37" t="s">
        <v>1174</v>
      </c>
      <c r="E1399" s="35" t="n">
        <v>2006</v>
      </c>
      <c r="F1399" s="38" t="n">
        <v>4631.13</v>
      </c>
      <c r="G1399" s="39" t="n">
        <v>1</v>
      </c>
      <c r="H1399" s="40" t="n">
        <v>470</v>
      </c>
    </row>
    <row r="1400" s="33" customFormat="true" ht="14.25" hidden="false" customHeight="false" outlineLevel="0" collapsed="false">
      <c r="A1400" s="34" t="n">
        <f aca="false">A1399+1</f>
        <v>1395</v>
      </c>
      <c r="B1400" s="35" t="s">
        <v>1175</v>
      </c>
      <c r="C1400" s="35" t="str">
        <f aca="false">"0000040"</f>
        <v>0000040</v>
      </c>
      <c r="D1400" s="37" t="s">
        <v>1176</v>
      </c>
      <c r="E1400" s="35" t="n">
        <v>1987</v>
      </c>
      <c r="F1400" s="38" t="n">
        <f aca="false">97702.97*1.2</f>
        <v>117243.564</v>
      </c>
      <c r="G1400" s="39" t="n">
        <v>1</v>
      </c>
      <c r="H1400" s="40" t="n">
        <v>5820</v>
      </c>
    </row>
    <row r="1401" s="33" customFormat="true" ht="14.25" hidden="false" customHeight="false" outlineLevel="0" collapsed="false">
      <c r="A1401" s="34" t="n">
        <f aca="false">A1400+1</f>
        <v>1396</v>
      </c>
      <c r="B1401" s="35" t="s">
        <v>1175</v>
      </c>
      <c r="C1401" s="35" t="str">
        <f aca="false">"0000127"</f>
        <v>0000127</v>
      </c>
      <c r="D1401" s="37" t="s">
        <v>1177</v>
      </c>
      <c r="E1401" s="35" t="n">
        <v>1987</v>
      </c>
      <c r="F1401" s="38" t="n">
        <f aca="false">48851.49*1.2</f>
        <v>58621.788</v>
      </c>
      <c r="G1401" s="39" t="n">
        <v>1</v>
      </c>
      <c r="H1401" s="40" t="n">
        <v>2900</v>
      </c>
    </row>
    <row r="1402" s="33" customFormat="true" ht="14.25" hidden="false" customHeight="false" outlineLevel="0" collapsed="false">
      <c r="A1402" s="34" t="n">
        <f aca="false">A1401+1</f>
        <v>1397</v>
      </c>
      <c r="B1402" s="35" t="s">
        <v>1175</v>
      </c>
      <c r="C1402" s="35" t="str">
        <f aca="false">"0000130"</f>
        <v>0000130</v>
      </c>
      <c r="D1402" s="37" t="s">
        <v>1178</v>
      </c>
      <c r="E1402" s="35" t="n">
        <v>1987</v>
      </c>
      <c r="F1402" s="38" t="n">
        <f aca="false">48851.49*1.2</f>
        <v>58621.788</v>
      </c>
      <c r="G1402" s="39" t="n">
        <v>1</v>
      </c>
      <c r="H1402" s="40" t="n">
        <v>2910</v>
      </c>
    </row>
    <row r="1403" s="33" customFormat="true" ht="14.25" hidden="false" customHeight="false" outlineLevel="0" collapsed="false">
      <c r="A1403" s="34" t="n">
        <f aca="false">A1402+1</f>
        <v>1398</v>
      </c>
      <c r="B1403" s="35" t="s">
        <v>1175</v>
      </c>
      <c r="C1403" s="35" t="str">
        <f aca="false">"0000186"</f>
        <v>0000186</v>
      </c>
      <c r="D1403" s="37" t="s">
        <v>1179</v>
      </c>
      <c r="E1403" s="35" t="n">
        <v>1987</v>
      </c>
      <c r="F1403" s="38" t="n">
        <f aca="false">9771.42*1.2</f>
        <v>11725.704</v>
      </c>
      <c r="G1403" s="39" t="n">
        <v>1</v>
      </c>
      <c r="H1403" s="40" t="n">
        <v>580</v>
      </c>
    </row>
    <row r="1404" s="33" customFormat="true" ht="14.25" hidden="false" customHeight="false" outlineLevel="0" collapsed="false">
      <c r="A1404" s="34" t="n">
        <f aca="false">A1403+1</f>
        <v>1399</v>
      </c>
      <c r="B1404" s="35" t="s">
        <v>1175</v>
      </c>
      <c r="C1404" s="35" t="str">
        <f aca="false">"0000539"</f>
        <v>0000539</v>
      </c>
      <c r="D1404" s="37" t="s">
        <v>1180</v>
      </c>
      <c r="E1404" s="35" t="n">
        <v>1948</v>
      </c>
      <c r="F1404" s="38" t="n">
        <f aca="false">48851.49*1.4</f>
        <v>68392.086</v>
      </c>
      <c r="G1404" s="39" t="n">
        <v>1</v>
      </c>
      <c r="H1404" s="40" t="n">
        <v>830</v>
      </c>
    </row>
    <row r="1405" s="33" customFormat="true" ht="14.25" hidden="false" customHeight="false" outlineLevel="0" collapsed="false">
      <c r="A1405" s="34" t="n">
        <f aca="false">A1404+1</f>
        <v>1400</v>
      </c>
      <c r="B1405" s="35" t="s">
        <v>1175</v>
      </c>
      <c r="C1405" s="35" t="str">
        <f aca="false">"0000569"</f>
        <v>0000569</v>
      </c>
      <c r="D1405" s="37" t="s">
        <v>1181</v>
      </c>
      <c r="E1405" s="35" t="n">
        <v>1987</v>
      </c>
      <c r="F1405" s="38" t="n">
        <f aca="false">83045.84*1.2</f>
        <v>99655.008</v>
      </c>
      <c r="G1405" s="39" t="n">
        <v>1</v>
      </c>
      <c r="H1405" s="40" t="n">
        <v>4950</v>
      </c>
    </row>
    <row r="1406" s="33" customFormat="true" ht="14.25" hidden="false" customHeight="false" outlineLevel="0" collapsed="false">
      <c r="A1406" s="34" t="n">
        <f aca="false">A1405+1</f>
        <v>1401</v>
      </c>
      <c r="B1406" s="35" t="s">
        <v>1175</v>
      </c>
      <c r="C1406" s="35" t="str">
        <f aca="false">"0000697"</f>
        <v>0000697</v>
      </c>
      <c r="D1406" s="37" t="s">
        <v>1182</v>
      </c>
      <c r="E1406" s="35" t="n">
        <v>1987</v>
      </c>
      <c r="F1406" s="38" t="n">
        <f aca="false">83045.84*1.2</f>
        <v>99655.008</v>
      </c>
      <c r="G1406" s="39" t="n">
        <v>1</v>
      </c>
      <c r="H1406" s="40" t="n">
        <v>4950</v>
      </c>
    </row>
    <row r="1407" s="33" customFormat="true" ht="14.25" hidden="false" customHeight="false" outlineLevel="0" collapsed="false">
      <c r="A1407" s="34" t="n">
        <f aca="false">A1406+1</f>
        <v>1402</v>
      </c>
      <c r="B1407" s="35" t="s">
        <v>1175</v>
      </c>
      <c r="C1407" s="35" t="str">
        <f aca="false">"0001288"</f>
        <v>0001288</v>
      </c>
      <c r="D1407" s="37" t="s">
        <v>1183</v>
      </c>
      <c r="E1407" s="35" t="n">
        <v>1953</v>
      </c>
      <c r="F1407" s="38" t="n">
        <f aca="false">9771.42*1.4</f>
        <v>13679.988</v>
      </c>
      <c r="G1407" s="39" t="n">
        <v>1</v>
      </c>
      <c r="H1407" s="40" t="n">
        <v>230</v>
      </c>
    </row>
    <row r="1408" s="33" customFormat="true" ht="14.25" hidden="false" customHeight="false" outlineLevel="0" collapsed="false">
      <c r="A1408" s="34" t="n">
        <f aca="false">A1407+1</f>
        <v>1403</v>
      </c>
      <c r="B1408" s="35" t="s">
        <v>1175</v>
      </c>
      <c r="C1408" s="35" t="str">
        <f aca="false">"0001375"</f>
        <v>0001375</v>
      </c>
      <c r="D1408" s="37" t="s">
        <v>1184</v>
      </c>
      <c r="E1408" s="35" t="n">
        <v>1987</v>
      </c>
      <c r="F1408" s="38" t="n">
        <f aca="false">9771.42*1.2</f>
        <v>11725.704</v>
      </c>
      <c r="G1408" s="39" t="n">
        <v>1</v>
      </c>
      <c r="H1408" s="40" t="n">
        <v>560</v>
      </c>
    </row>
    <row r="1409" s="33" customFormat="true" ht="14.25" hidden="false" customHeight="false" outlineLevel="0" collapsed="false">
      <c r="A1409" s="34" t="n">
        <f aca="false">A1408+1</f>
        <v>1404</v>
      </c>
      <c r="B1409" s="35" t="s">
        <v>1175</v>
      </c>
      <c r="C1409" s="35" t="str">
        <f aca="false">"0001548"</f>
        <v>0001548</v>
      </c>
      <c r="D1409" s="37" t="s">
        <v>1185</v>
      </c>
      <c r="E1409" s="35" t="n">
        <v>1987</v>
      </c>
      <c r="F1409" s="38" t="n">
        <f aca="false">48851.49*1.2</f>
        <v>58621.788</v>
      </c>
      <c r="G1409" s="39" t="n">
        <v>1</v>
      </c>
      <c r="H1409" s="40" t="n">
        <v>2910</v>
      </c>
    </row>
    <row r="1410" s="33" customFormat="true" ht="14.25" hidden="false" customHeight="false" outlineLevel="0" collapsed="false">
      <c r="A1410" s="34" t="n">
        <f aca="false">A1409+1</f>
        <v>1405</v>
      </c>
      <c r="B1410" s="35" t="s">
        <v>1175</v>
      </c>
      <c r="C1410" s="35" t="str">
        <f aca="false">"0001744"</f>
        <v>0001744</v>
      </c>
      <c r="D1410" s="37" t="s">
        <v>302</v>
      </c>
      <c r="E1410" s="35" t="n">
        <v>1987</v>
      </c>
      <c r="F1410" s="38" t="n">
        <f aca="false">9771.42*1.2</f>
        <v>11725.704</v>
      </c>
      <c r="G1410" s="39" t="n">
        <v>1</v>
      </c>
      <c r="H1410" s="40" t="n">
        <v>560</v>
      </c>
    </row>
    <row r="1411" s="33" customFormat="true" ht="14.25" hidden="false" customHeight="false" outlineLevel="0" collapsed="false">
      <c r="A1411" s="34" t="n">
        <f aca="false">A1410+1</f>
        <v>1406</v>
      </c>
      <c r="B1411" s="35" t="s">
        <v>1175</v>
      </c>
      <c r="C1411" s="35" t="str">
        <f aca="false">"0002542"</f>
        <v>0002542</v>
      </c>
      <c r="D1411" s="37" t="s">
        <v>1186</v>
      </c>
      <c r="E1411" s="35" t="n">
        <v>1987</v>
      </c>
      <c r="F1411" s="38" t="n">
        <f aca="false">7350*7.5</f>
        <v>55125</v>
      </c>
      <c r="G1411" s="39" t="n">
        <v>1</v>
      </c>
      <c r="H1411" s="40" t="n">
        <v>2740</v>
      </c>
    </row>
    <row r="1412" s="33" customFormat="true" ht="14.25" hidden="false" customHeight="false" outlineLevel="0" collapsed="false">
      <c r="A1412" s="34" t="n">
        <f aca="false">A1411+1</f>
        <v>1407</v>
      </c>
      <c r="B1412" s="35" t="s">
        <v>1175</v>
      </c>
      <c r="C1412" s="35" t="str">
        <f aca="false">"0003975"</f>
        <v>0003975</v>
      </c>
      <c r="D1412" s="37" t="s">
        <v>1187</v>
      </c>
      <c r="E1412" s="35" t="n">
        <v>1987</v>
      </c>
      <c r="F1412" s="38" t="n">
        <f aca="false">24422.93*1.2</f>
        <v>29307.516</v>
      </c>
      <c r="G1412" s="39" t="n">
        <v>1</v>
      </c>
      <c r="H1412" s="40" t="n">
        <v>1450</v>
      </c>
    </row>
    <row r="1413" s="33" customFormat="true" ht="14.25" hidden="false" customHeight="false" outlineLevel="0" collapsed="false">
      <c r="A1413" s="46" t="n">
        <f aca="false">A1412+1</f>
        <v>1408</v>
      </c>
      <c r="B1413" s="35" t="s">
        <v>1175</v>
      </c>
      <c r="C1413" s="35" t="str">
        <f aca="false">"0004145"</f>
        <v>0004145</v>
      </c>
      <c r="D1413" s="37" t="s">
        <v>1188</v>
      </c>
      <c r="E1413" s="35" t="n">
        <v>1977</v>
      </c>
      <c r="F1413" s="38" t="n">
        <f aca="false">488514.87*1.25</f>
        <v>610643.5875</v>
      </c>
      <c r="G1413" s="39" t="n">
        <v>1</v>
      </c>
      <c r="H1413" s="40" t="n">
        <v>24430</v>
      </c>
    </row>
    <row r="1414" s="33" customFormat="true" ht="14.25" hidden="false" customHeight="false" outlineLevel="0" collapsed="false">
      <c r="A1414" s="34" t="n">
        <f aca="false">A1413+1</f>
        <v>1409</v>
      </c>
      <c r="B1414" s="35" t="s">
        <v>1175</v>
      </c>
      <c r="C1414" s="35" t="str">
        <f aca="false">"0004335"</f>
        <v>0004335</v>
      </c>
      <c r="D1414" s="37" t="s">
        <v>1189</v>
      </c>
      <c r="E1414" s="35" t="n">
        <v>1977</v>
      </c>
      <c r="F1414" s="38" t="n">
        <f aca="false">24422.93*1.25</f>
        <v>30528.6625</v>
      </c>
      <c r="G1414" s="39" t="n">
        <v>1</v>
      </c>
      <c r="H1414" s="40" t="n">
        <v>1170</v>
      </c>
    </row>
    <row r="1415" s="33" customFormat="true" ht="14.25" hidden="false" customHeight="false" outlineLevel="0" collapsed="false">
      <c r="A1415" s="34" t="n">
        <f aca="false">A1414+1</f>
        <v>1410</v>
      </c>
      <c r="B1415" s="35" t="s">
        <v>1175</v>
      </c>
      <c r="C1415" s="35" t="str">
        <f aca="false">"0004351"</f>
        <v>0004351</v>
      </c>
      <c r="D1415" s="37" t="s">
        <v>1190</v>
      </c>
      <c r="E1415" s="35" t="n">
        <v>1977</v>
      </c>
      <c r="F1415" s="38" t="n">
        <f aca="false">83045.84*1.25</f>
        <v>103807.3</v>
      </c>
      <c r="G1415" s="39" t="n">
        <v>1</v>
      </c>
      <c r="H1415" s="40" t="n">
        <v>4150</v>
      </c>
    </row>
    <row r="1416" s="33" customFormat="true" ht="14.25" hidden="false" customHeight="false" outlineLevel="0" collapsed="false">
      <c r="A1416" s="34" t="n">
        <f aca="false">A1415+1</f>
        <v>1411</v>
      </c>
      <c r="B1416" s="35" t="s">
        <v>1175</v>
      </c>
      <c r="C1416" s="35" t="str">
        <f aca="false">"0004685"</f>
        <v>0004685</v>
      </c>
      <c r="D1416" s="37" t="s">
        <v>1191</v>
      </c>
      <c r="E1416" s="35" t="n">
        <v>1979</v>
      </c>
      <c r="F1416" s="38" t="n">
        <f aca="false">7328.57*1.25</f>
        <v>9160.7125</v>
      </c>
      <c r="G1416" s="39" t="n">
        <v>1</v>
      </c>
      <c r="H1416" s="40" t="n">
        <v>385</v>
      </c>
    </row>
    <row r="1417" s="33" customFormat="true" ht="14.25" hidden="false" customHeight="false" outlineLevel="0" collapsed="false">
      <c r="A1417" s="34" t="n">
        <f aca="false">A1416+1</f>
        <v>1412</v>
      </c>
      <c r="B1417" s="35" t="s">
        <v>1175</v>
      </c>
      <c r="C1417" s="35" t="str">
        <f aca="false">"0005177"</f>
        <v>0005177</v>
      </c>
      <c r="D1417" s="37" t="s">
        <v>114</v>
      </c>
      <c r="E1417" s="35" t="n">
        <v>1987</v>
      </c>
      <c r="F1417" s="38" t="n">
        <v>33.77</v>
      </c>
      <c r="G1417" s="39" t="n">
        <v>1</v>
      </c>
      <c r="H1417" s="40" t="n">
        <v>5</v>
      </c>
    </row>
    <row r="1418" s="33" customFormat="true" ht="14.25" hidden="false" customHeight="false" outlineLevel="0" collapsed="false">
      <c r="A1418" s="34" t="n">
        <f aca="false">A1417+1</f>
        <v>1413</v>
      </c>
      <c r="B1418" s="35" t="s">
        <v>1175</v>
      </c>
      <c r="C1418" s="35" t="str">
        <f aca="false">"0005906"</f>
        <v>0005906</v>
      </c>
      <c r="D1418" s="37" t="s">
        <v>1192</v>
      </c>
      <c r="E1418" s="35" t="n">
        <v>1984</v>
      </c>
      <c r="F1418" s="38" t="n">
        <f aca="false">2442.86*1.2</f>
        <v>2931.432</v>
      </c>
      <c r="G1418" s="39" t="n">
        <v>1</v>
      </c>
      <c r="H1418" s="40" t="n">
        <v>100</v>
      </c>
    </row>
    <row r="1419" s="33" customFormat="true" ht="14.25" hidden="false" customHeight="false" outlineLevel="0" collapsed="false">
      <c r="A1419" s="34" t="n">
        <f aca="false">A1418+1</f>
        <v>1414</v>
      </c>
      <c r="B1419" s="35" t="s">
        <v>1175</v>
      </c>
      <c r="C1419" s="35" t="str">
        <f aca="false">"0005961"</f>
        <v>0005961</v>
      </c>
      <c r="D1419" s="37" t="s">
        <v>1193</v>
      </c>
      <c r="E1419" s="35" t="n">
        <v>1983</v>
      </c>
      <c r="F1419" s="38" t="n">
        <f aca="false">7328.57*1.2</f>
        <v>8794.284</v>
      </c>
      <c r="G1419" s="39" t="n">
        <v>1</v>
      </c>
      <c r="H1419" s="40" t="n">
        <v>400</v>
      </c>
    </row>
    <row r="1420" s="33" customFormat="true" ht="14.25" hidden="false" customHeight="false" outlineLevel="0" collapsed="false">
      <c r="A1420" s="34" t="n">
        <f aca="false">A1419+1</f>
        <v>1415</v>
      </c>
      <c r="B1420" s="35" t="s">
        <v>1175</v>
      </c>
      <c r="C1420" s="35" t="str">
        <f aca="false">"0006115"</f>
        <v>0006115</v>
      </c>
      <c r="D1420" s="37" t="s">
        <v>1194</v>
      </c>
      <c r="E1420" s="35" t="n">
        <v>1987</v>
      </c>
      <c r="F1420" s="38" t="n">
        <v>33.77</v>
      </c>
      <c r="G1420" s="39" t="n">
        <v>1</v>
      </c>
      <c r="H1420" s="40" t="n">
        <v>5</v>
      </c>
    </row>
    <row r="1421" s="33" customFormat="true" ht="14.25" hidden="false" customHeight="false" outlineLevel="0" collapsed="false">
      <c r="A1421" s="34" t="n">
        <f aca="false">A1420+1</f>
        <v>1416</v>
      </c>
      <c r="B1421" s="35" t="s">
        <v>1175</v>
      </c>
      <c r="C1421" s="35" t="str">
        <f aca="false">"0006120"</f>
        <v>0006120</v>
      </c>
      <c r="D1421" s="37" t="s">
        <v>1195</v>
      </c>
      <c r="E1421" s="35" t="n">
        <v>1987</v>
      </c>
      <c r="F1421" s="38" t="n">
        <v>22.51</v>
      </c>
      <c r="G1421" s="39" t="n">
        <v>1</v>
      </c>
      <c r="H1421" s="40" t="n">
        <v>5</v>
      </c>
    </row>
    <row r="1422" s="33" customFormat="true" ht="14.25" hidden="false" customHeight="false" outlineLevel="0" collapsed="false">
      <c r="A1422" s="34" t="n">
        <f aca="false">A1421+1</f>
        <v>1417</v>
      </c>
      <c r="B1422" s="35" t="s">
        <v>1175</v>
      </c>
      <c r="C1422" s="35" t="str">
        <f aca="false">"0006124"</f>
        <v>0006124</v>
      </c>
      <c r="D1422" s="37" t="s">
        <v>1196</v>
      </c>
      <c r="E1422" s="35" t="n">
        <v>1987</v>
      </c>
      <c r="F1422" s="38" t="n">
        <v>90.06</v>
      </c>
      <c r="G1422" s="39" t="n">
        <v>1</v>
      </c>
      <c r="H1422" s="40" t="n">
        <v>5</v>
      </c>
    </row>
    <row r="1423" s="33" customFormat="true" ht="14.25" hidden="false" customHeight="false" outlineLevel="0" collapsed="false">
      <c r="A1423" s="34" t="n">
        <f aca="false">A1422+1</f>
        <v>1418</v>
      </c>
      <c r="B1423" s="35" t="s">
        <v>1175</v>
      </c>
      <c r="C1423" s="35" t="str">
        <f aca="false">"0006125"</f>
        <v>0006125</v>
      </c>
      <c r="D1423" s="37" t="s">
        <v>114</v>
      </c>
      <c r="E1423" s="35" t="n">
        <v>1987</v>
      </c>
      <c r="F1423" s="38" t="n">
        <v>39.4</v>
      </c>
      <c r="G1423" s="39" t="n">
        <v>1</v>
      </c>
      <c r="H1423" s="40" t="n">
        <v>5</v>
      </c>
    </row>
    <row r="1424" s="33" customFormat="true" ht="14.25" hidden="false" customHeight="false" outlineLevel="0" collapsed="false">
      <c r="A1424" s="34" t="n">
        <f aca="false">A1423+1</f>
        <v>1419</v>
      </c>
      <c r="B1424" s="35" t="s">
        <v>1175</v>
      </c>
      <c r="C1424" s="35" t="str">
        <f aca="false">"0006126"</f>
        <v>0006126</v>
      </c>
      <c r="D1424" s="37" t="s">
        <v>42</v>
      </c>
      <c r="E1424" s="35" t="n">
        <v>1987</v>
      </c>
      <c r="F1424" s="38" t="n">
        <v>56.29</v>
      </c>
      <c r="G1424" s="39" t="n">
        <v>1</v>
      </c>
      <c r="H1424" s="40" t="n">
        <v>5</v>
      </c>
    </row>
    <row r="1425" s="33" customFormat="true" ht="14.25" hidden="false" customHeight="false" outlineLevel="0" collapsed="false">
      <c r="A1425" s="34" t="n">
        <f aca="false">A1424+1</f>
        <v>1420</v>
      </c>
      <c r="B1425" s="35" t="s">
        <v>1175</v>
      </c>
      <c r="C1425" s="35" t="str">
        <f aca="false">"0006141"</f>
        <v>0006141</v>
      </c>
      <c r="D1425" s="37" t="s">
        <v>1197</v>
      </c>
      <c r="E1425" s="35" t="n">
        <v>1987</v>
      </c>
      <c r="F1425" s="38" t="n">
        <v>33.77</v>
      </c>
      <c r="G1425" s="39" t="n">
        <v>6</v>
      </c>
      <c r="H1425" s="40" t="n">
        <v>30</v>
      </c>
    </row>
    <row r="1426" s="33" customFormat="true" ht="14.25" hidden="false" customHeight="false" outlineLevel="0" collapsed="false">
      <c r="A1426" s="34" t="n">
        <f aca="false">A1425+1</f>
        <v>1421</v>
      </c>
      <c r="B1426" s="35" t="s">
        <v>1175</v>
      </c>
      <c r="C1426" s="35" t="str">
        <f aca="false">"0006159"</f>
        <v>0006159</v>
      </c>
      <c r="D1426" s="37" t="s">
        <v>1198</v>
      </c>
      <c r="E1426" s="35" t="n">
        <v>1987</v>
      </c>
      <c r="F1426" s="38" t="n">
        <v>22.51</v>
      </c>
      <c r="G1426" s="39" t="n">
        <v>9</v>
      </c>
      <c r="H1426" s="40" t="n">
        <v>45</v>
      </c>
    </row>
    <row r="1427" s="33" customFormat="true" ht="14.25" hidden="false" customHeight="false" outlineLevel="0" collapsed="false">
      <c r="A1427" s="34" t="n">
        <f aca="false">A1426+1</f>
        <v>1422</v>
      </c>
      <c r="B1427" s="35" t="s">
        <v>1175</v>
      </c>
      <c r="C1427" s="35" t="str">
        <f aca="false">"0006542"</f>
        <v>0006542</v>
      </c>
      <c r="D1427" s="37" t="s">
        <v>41</v>
      </c>
      <c r="E1427" s="35" t="n">
        <v>1987</v>
      </c>
      <c r="F1427" s="38" t="n">
        <v>39.4</v>
      </c>
      <c r="G1427" s="39" t="n">
        <v>1</v>
      </c>
      <c r="H1427" s="40" t="n">
        <v>5</v>
      </c>
    </row>
    <row r="1428" s="33" customFormat="true" ht="14.25" hidden="false" customHeight="false" outlineLevel="0" collapsed="false">
      <c r="A1428" s="34" t="n">
        <f aca="false">A1427+1</f>
        <v>1423</v>
      </c>
      <c r="B1428" s="35" t="s">
        <v>1175</v>
      </c>
      <c r="C1428" s="35" t="str">
        <f aca="false">"0006541"</f>
        <v>0006541</v>
      </c>
      <c r="D1428" s="37" t="s">
        <v>310</v>
      </c>
      <c r="E1428" s="35" t="n">
        <v>1987</v>
      </c>
      <c r="F1428" s="38" t="n">
        <v>50.66</v>
      </c>
      <c r="G1428" s="39" t="n">
        <v>6</v>
      </c>
      <c r="H1428" s="40" t="n">
        <v>30</v>
      </c>
    </row>
    <row r="1429" s="33" customFormat="true" ht="14.25" hidden="false" customHeight="false" outlineLevel="0" collapsed="false">
      <c r="A1429" s="34" t="n">
        <f aca="false">A1428+1</f>
        <v>1424</v>
      </c>
      <c r="B1429" s="35" t="s">
        <v>1175</v>
      </c>
      <c r="C1429" s="35" t="str">
        <f aca="false">"0006552"</f>
        <v>0006552</v>
      </c>
      <c r="D1429" s="37" t="s">
        <v>114</v>
      </c>
      <c r="E1429" s="35" t="n">
        <v>1987</v>
      </c>
      <c r="F1429" s="38" t="n">
        <v>33.77</v>
      </c>
      <c r="G1429" s="39" t="n">
        <v>1</v>
      </c>
      <c r="H1429" s="40" t="n">
        <v>5</v>
      </c>
    </row>
    <row r="1430" s="33" customFormat="true" ht="14.25" hidden="false" customHeight="false" outlineLevel="0" collapsed="false">
      <c r="A1430" s="34" t="n">
        <f aca="false">A1429+1</f>
        <v>1425</v>
      </c>
      <c r="B1430" s="35" t="s">
        <v>1175</v>
      </c>
      <c r="C1430" s="35" t="str">
        <f aca="false">"0006553"</f>
        <v>0006553</v>
      </c>
      <c r="D1430" s="37" t="s">
        <v>1197</v>
      </c>
      <c r="E1430" s="35" t="n">
        <v>1987</v>
      </c>
      <c r="F1430" s="38" t="n">
        <v>33.77</v>
      </c>
      <c r="G1430" s="39" t="n">
        <v>1</v>
      </c>
      <c r="H1430" s="40" t="n">
        <v>5</v>
      </c>
    </row>
    <row r="1431" s="33" customFormat="true" ht="14.25" hidden="false" customHeight="false" outlineLevel="0" collapsed="false">
      <c r="A1431" s="34" t="n">
        <f aca="false">A1430+1</f>
        <v>1426</v>
      </c>
      <c r="B1431" s="35" t="s">
        <v>1175</v>
      </c>
      <c r="C1431" s="35" t="str">
        <f aca="false">"0006561"</f>
        <v>0006561</v>
      </c>
      <c r="D1431" s="37" t="s">
        <v>112</v>
      </c>
      <c r="E1431" s="35" t="n">
        <v>1987</v>
      </c>
      <c r="F1431" s="38" t="n">
        <v>50.66</v>
      </c>
      <c r="G1431" s="39" t="n">
        <v>34</v>
      </c>
      <c r="H1431" s="40" t="n">
        <v>170</v>
      </c>
    </row>
    <row r="1432" s="33" customFormat="true" ht="14.25" hidden="false" customHeight="false" outlineLevel="0" collapsed="false">
      <c r="A1432" s="34" t="n">
        <f aca="false">A1431+1</f>
        <v>1427</v>
      </c>
      <c r="B1432" s="35" t="s">
        <v>1175</v>
      </c>
      <c r="C1432" s="35" t="str">
        <f aca="false">"0006756"</f>
        <v>0006756</v>
      </c>
      <c r="D1432" s="37" t="s">
        <v>1199</v>
      </c>
      <c r="E1432" s="35" t="n">
        <v>1987</v>
      </c>
      <c r="F1432" s="38" t="n">
        <f aca="false">78160.13*1.2</f>
        <v>93792.156</v>
      </c>
      <c r="G1432" s="39" t="n">
        <v>1</v>
      </c>
      <c r="H1432" s="40" t="n">
        <v>4650</v>
      </c>
    </row>
    <row r="1433" s="33" customFormat="true" ht="14.25" hidden="false" customHeight="false" outlineLevel="0" collapsed="false">
      <c r="A1433" s="34" t="n">
        <f aca="false">A1432+1</f>
        <v>1428</v>
      </c>
      <c r="B1433" s="35" t="s">
        <v>1175</v>
      </c>
      <c r="C1433" s="35" t="str">
        <f aca="false">"0006768"</f>
        <v>0006768</v>
      </c>
      <c r="D1433" s="37" t="s">
        <v>1200</v>
      </c>
      <c r="E1433" s="35" t="n">
        <v>1987</v>
      </c>
      <c r="F1433" s="38" t="n">
        <f aca="false">12214.28*1.2</f>
        <v>14657.136</v>
      </c>
      <c r="G1433" s="39" t="n">
        <v>1</v>
      </c>
      <c r="H1433" s="40" t="n">
        <v>730</v>
      </c>
    </row>
    <row r="1434" s="33" customFormat="true" ht="14.25" hidden="false" customHeight="false" outlineLevel="0" collapsed="false">
      <c r="A1434" s="34" t="n">
        <f aca="false">A1433+1</f>
        <v>1429</v>
      </c>
      <c r="B1434" s="35" t="s">
        <v>1175</v>
      </c>
      <c r="C1434" s="35" t="str">
        <f aca="false">"0006781"</f>
        <v>0006781</v>
      </c>
      <c r="D1434" s="37" t="s">
        <v>1201</v>
      </c>
      <c r="E1434" s="35" t="n">
        <v>1987</v>
      </c>
      <c r="F1434" s="38" t="n">
        <f aca="false">146554.46*1.2</f>
        <v>175865.352</v>
      </c>
      <c r="G1434" s="39" t="n">
        <v>1</v>
      </c>
      <c r="H1434" s="40" t="n">
        <v>8730</v>
      </c>
    </row>
    <row r="1435" s="33" customFormat="true" ht="14.25" hidden="false" customHeight="false" outlineLevel="0" collapsed="false">
      <c r="A1435" s="34" t="n">
        <f aca="false">A1434+1</f>
        <v>1430</v>
      </c>
      <c r="B1435" s="35" t="s">
        <v>1175</v>
      </c>
      <c r="C1435" s="35" t="str">
        <f aca="false">"0006820"</f>
        <v>0006820</v>
      </c>
      <c r="D1435" s="37" t="s">
        <v>1202</v>
      </c>
      <c r="E1435" s="35" t="n">
        <v>1987</v>
      </c>
      <c r="F1435" s="38" t="n">
        <f aca="false">48851.49*1.2</f>
        <v>58621.788</v>
      </c>
      <c r="G1435" s="39" t="n">
        <v>1</v>
      </c>
      <c r="H1435" s="40" t="n">
        <v>2900</v>
      </c>
    </row>
    <row r="1436" s="33" customFormat="true" ht="14.25" hidden="false" customHeight="false" outlineLevel="0" collapsed="false">
      <c r="A1436" s="34" t="n">
        <f aca="false">A1435+1</f>
        <v>1431</v>
      </c>
      <c r="B1436" s="35" t="s">
        <v>1175</v>
      </c>
      <c r="C1436" s="35" t="str">
        <f aca="false">"0008332"</f>
        <v>0008332</v>
      </c>
      <c r="D1436" s="37" t="s">
        <v>1198</v>
      </c>
      <c r="E1436" s="35" t="n">
        <v>1987</v>
      </c>
      <c r="F1436" s="38" t="n">
        <v>22.51</v>
      </c>
      <c r="G1436" s="39" t="n">
        <v>1</v>
      </c>
      <c r="H1436" s="40" t="n">
        <v>5</v>
      </c>
    </row>
    <row r="1437" s="33" customFormat="true" ht="14.25" hidden="false" customHeight="false" outlineLevel="0" collapsed="false">
      <c r="A1437" s="34" t="n">
        <f aca="false">A1436+1</f>
        <v>1432</v>
      </c>
      <c r="B1437" s="35" t="s">
        <v>1175</v>
      </c>
      <c r="C1437" s="35" t="str">
        <f aca="false">"0008452"</f>
        <v>0008452</v>
      </c>
      <c r="D1437" s="37" t="s">
        <v>1203</v>
      </c>
      <c r="E1437" s="35" t="n">
        <v>1991</v>
      </c>
      <c r="F1437" s="38" t="n">
        <f aca="false">7328.57*1.2</f>
        <v>8794.284</v>
      </c>
      <c r="G1437" s="39" t="n">
        <v>2</v>
      </c>
      <c r="H1437" s="40" t="n">
        <v>940</v>
      </c>
    </row>
    <row r="1438" s="33" customFormat="true" ht="14.25" hidden="false" customHeight="false" outlineLevel="0" collapsed="false">
      <c r="A1438" s="34" t="n">
        <f aca="false">A1437+1</f>
        <v>1433</v>
      </c>
      <c r="B1438" s="35" t="s">
        <v>1175</v>
      </c>
      <c r="C1438" s="35" t="str">
        <f aca="false">"0011774"</f>
        <v>0011774</v>
      </c>
      <c r="D1438" s="37" t="s">
        <v>1204</v>
      </c>
      <c r="E1438" s="35" t="n">
        <v>2001</v>
      </c>
      <c r="F1438" s="38" t="n">
        <v>1870</v>
      </c>
      <c r="G1438" s="39" t="n">
        <v>1</v>
      </c>
      <c r="H1438" s="40" t="n">
        <v>105</v>
      </c>
    </row>
    <row r="1439" s="33" customFormat="true" ht="14.25" hidden="false" customHeight="false" outlineLevel="0" collapsed="false">
      <c r="A1439" s="34" t="n">
        <f aca="false">A1438+1</f>
        <v>1434</v>
      </c>
      <c r="B1439" s="35" t="s">
        <v>1175</v>
      </c>
      <c r="C1439" s="35" t="str">
        <f aca="false">"0012125"</f>
        <v>0012125</v>
      </c>
      <c r="D1439" s="37" t="s">
        <v>311</v>
      </c>
      <c r="E1439" s="35" t="n">
        <v>1987</v>
      </c>
      <c r="F1439" s="38" t="n">
        <v>22.51</v>
      </c>
      <c r="G1439" s="39" t="n">
        <v>1</v>
      </c>
      <c r="H1439" s="40" t="n">
        <v>5</v>
      </c>
    </row>
    <row r="1440" s="33" customFormat="true" ht="14.25" hidden="false" customHeight="false" outlineLevel="0" collapsed="false">
      <c r="A1440" s="34" t="n">
        <f aca="false">A1439+1</f>
        <v>1435</v>
      </c>
      <c r="B1440" s="35" t="s">
        <v>1175</v>
      </c>
      <c r="C1440" s="35" t="str">
        <f aca="false">"0016274"</f>
        <v>0016274</v>
      </c>
      <c r="D1440" s="37" t="s">
        <v>1205</v>
      </c>
      <c r="E1440" s="35" t="n">
        <v>2006</v>
      </c>
      <c r="F1440" s="38" t="n">
        <v>550</v>
      </c>
      <c r="G1440" s="39" t="n">
        <v>1</v>
      </c>
      <c r="H1440" s="40" t="n">
        <v>40</v>
      </c>
    </row>
    <row r="1441" s="33" customFormat="true" ht="14.25" hidden="false" customHeight="false" outlineLevel="0" collapsed="false">
      <c r="A1441" s="34" t="n">
        <f aca="false">A1440+1</f>
        <v>1436</v>
      </c>
      <c r="B1441" s="35" t="s">
        <v>1175</v>
      </c>
      <c r="C1441" s="35" t="str">
        <f aca="false">"0033420"</f>
        <v>0033420</v>
      </c>
      <c r="D1441" s="37" t="s">
        <v>1198</v>
      </c>
      <c r="E1441" s="35" t="n">
        <v>2003</v>
      </c>
      <c r="F1441" s="38" t="n">
        <v>25</v>
      </c>
      <c r="G1441" s="39" t="n">
        <v>6</v>
      </c>
      <c r="H1441" s="40" t="n">
        <v>30</v>
      </c>
    </row>
    <row r="1442" s="33" customFormat="true" ht="14.25" hidden="false" customHeight="false" outlineLevel="0" collapsed="false">
      <c r="A1442" s="34" t="n">
        <f aca="false">A1441+1</f>
        <v>1437</v>
      </c>
      <c r="B1442" s="35" t="s">
        <v>1175</v>
      </c>
      <c r="C1442" s="35" t="str">
        <f aca="false">"0033426"</f>
        <v>0033426</v>
      </c>
      <c r="D1442" s="37" t="s">
        <v>312</v>
      </c>
      <c r="E1442" s="35" t="n">
        <v>2003</v>
      </c>
      <c r="F1442" s="38" t="n">
        <v>95.69</v>
      </c>
      <c r="G1442" s="39" t="n">
        <v>1</v>
      </c>
      <c r="H1442" s="40" t="n">
        <v>5</v>
      </c>
    </row>
    <row r="1443" s="33" customFormat="true" ht="14.25" hidden="false" customHeight="false" outlineLevel="0" collapsed="false">
      <c r="A1443" s="34" t="n">
        <f aca="false">A1442+1</f>
        <v>1438</v>
      </c>
      <c r="B1443" s="35" t="s">
        <v>1175</v>
      </c>
      <c r="C1443" s="35" t="str">
        <f aca="false">"0033427"</f>
        <v>0033427</v>
      </c>
      <c r="D1443" s="37" t="s">
        <v>1206</v>
      </c>
      <c r="E1443" s="35" t="n">
        <v>2003</v>
      </c>
      <c r="F1443" s="38" t="n">
        <v>149</v>
      </c>
      <c r="G1443" s="39" t="n">
        <v>1</v>
      </c>
      <c r="H1443" s="40" t="n">
        <v>10</v>
      </c>
    </row>
    <row r="1444" s="33" customFormat="true" ht="14.25" hidden="false" customHeight="false" outlineLevel="0" collapsed="false">
      <c r="A1444" s="34" t="n">
        <f aca="false">A1443+1</f>
        <v>1439</v>
      </c>
      <c r="B1444" s="35" t="s">
        <v>1175</v>
      </c>
      <c r="C1444" s="35" t="str">
        <f aca="false">"0033428"</f>
        <v>0033428</v>
      </c>
      <c r="D1444" s="37" t="s">
        <v>112</v>
      </c>
      <c r="E1444" s="35" t="n">
        <v>2003</v>
      </c>
      <c r="F1444" s="38" t="n">
        <v>55</v>
      </c>
      <c r="G1444" s="39" t="n">
        <v>8</v>
      </c>
      <c r="H1444" s="40" t="n">
        <v>40</v>
      </c>
    </row>
    <row r="1445" s="33" customFormat="true" ht="14.25" hidden="false" customHeight="false" outlineLevel="0" collapsed="false">
      <c r="A1445" s="34" t="n">
        <f aca="false">A1444+1</f>
        <v>1440</v>
      </c>
      <c r="B1445" s="35" t="s">
        <v>1175</v>
      </c>
      <c r="C1445" s="35" t="str">
        <f aca="false">"0033437"</f>
        <v>0033437</v>
      </c>
      <c r="D1445" s="37" t="s">
        <v>42</v>
      </c>
      <c r="E1445" s="35" t="n">
        <v>2003</v>
      </c>
      <c r="F1445" s="38" t="n">
        <v>100</v>
      </c>
      <c r="G1445" s="39" t="n">
        <v>1</v>
      </c>
      <c r="H1445" s="40" t="n">
        <v>5</v>
      </c>
    </row>
    <row r="1446" s="33" customFormat="true" ht="14.25" hidden="false" customHeight="false" outlineLevel="0" collapsed="false">
      <c r="A1446" s="34" t="n">
        <f aca="false">A1445+1</f>
        <v>1441</v>
      </c>
      <c r="B1446" s="35" t="s">
        <v>1175</v>
      </c>
      <c r="C1446" s="35" t="str">
        <f aca="false">"0033439"</f>
        <v>0033439</v>
      </c>
      <c r="D1446" s="37" t="s">
        <v>1207</v>
      </c>
      <c r="E1446" s="35" t="n">
        <v>2003</v>
      </c>
      <c r="F1446" s="38" t="n">
        <v>15</v>
      </c>
      <c r="G1446" s="39" t="n">
        <v>1</v>
      </c>
      <c r="H1446" s="40" t="n">
        <v>5</v>
      </c>
    </row>
    <row r="1447" s="33" customFormat="true" ht="14.25" hidden="false" customHeight="false" outlineLevel="0" collapsed="false">
      <c r="A1447" s="34" t="n">
        <f aca="false">A1446+1</f>
        <v>1442</v>
      </c>
      <c r="B1447" s="35" t="s">
        <v>1175</v>
      </c>
      <c r="C1447" s="35" t="str">
        <f aca="false">"0033440"</f>
        <v>0033440</v>
      </c>
      <c r="D1447" s="37" t="s">
        <v>1208</v>
      </c>
      <c r="E1447" s="35" t="n">
        <v>2003</v>
      </c>
      <c r="F1447" s="38" t="n">
        <v>15</v>
      </c>
      <c r="G1447" s="39" t="n">
        <v>1</v>
      </c>
      <c r="H1447" s="40" t="n">
        <v>5</v>
      </c>
    </row>
    <row r="1448" s="33" customFormat="true" ht="14.25" hidden="false" customHeight="false" outlineLevel="0" collapsed="false">
      <c r="A1448" s="34" t="n">
        <f aca="false">A1447+1</f>
        <v>1443</v>
      </c>
      <c r="B1448" s="35" t="s">
        <v>1175</v>
      </c>
      <c r="C1448" s="35" t="str">
        <f aca="false">"0037824"</f>
        <v>0037824</v>
      </c>
      <c r="D1448" s="37" t="s">
        <v>1209</v>
      </c>
      <c r="E1448" s="35" t="n">
        <v>2008</v>
      </c>
      <c r="F1448" s="38" t="n">
        <v>880</v>
      </c>
      <c r="G1448" s="39" t="n">
        <v>1</v>
      </c>
      <c r="H1448" s="40" t="n">
        <v>70</v>
      </c>
    </row>
    <row r="1449" s="33" customFormat="true" ht="14.25" hidden="false" customHeight="false" outlineLevel="0" collapsed="false">
      <c r="A1449" s="34" t="n">
        <f aca="false">A1448+1</f>
        <v>1444</v>
      </c>
      <c r="B1449" s="35" t="s">
        <v>1175</v>
      </c>
      <c r="C1449" s="35" t="str">
        <f aca="false">"0037932"</f>
        <v>0037932</v>
      </c>
      <c r="D1449" s="37" t="s">
        <v>1210</v>
      </c>
      <c r="E1449" s="35" t="n">
        <v>2008</v>
      </c>
      <c r="F1449" s="38" t="n">
        <v>1010</v>
      </c>
      <c r="G1449" s="39" t="n">
        <v>1</v>
      </c>
      <c r="H1449" s="40" t="n">
        <v>60</v>
      </c>
    </row>
    <row r="1450" s="33" customFormat="true" ht="14.25" hidden="false" customHeight="false" outlineLevel="0" collapsed="false">
      <c r="A1450" s="34" t="n">
        <f aca="false">A1449+1</f>
        <v>1445</v>
      </c>
      <c r="B1450" s="35" t="s">
        <v>1175</v>
      </c>
      <c r="C1450" s="35" t="str">
        <f aca="false">"0039000"</f>
        <v>0039000</v>
      </c>
      <c r="D1450" s="37" t="s">
        <v>210</v>
      </c>
      <c r="E1450" s="35" t="n">
        <v>2008</v>
      </c>
      <c r="F1450" s="38" t="n">
        <v>4255.49</v>
      </c>
      <c r="G1450" s="39" t="n">
        <v>1</v>
      </c>
      <c r="H1450" s="40" t="n">
        <v>270</v>
      </c>
    </row>
    <row r="1451" s="33" customFormat="true" ht="14.25" hidden="false" customHeight="false" outlineLevel="0" collapsed="false">
      <c r="A1451" s="34" t="n">
        <f aca="false">A1450+1</f>
        <v>1446</v>
      </c>
      <c r="B1451" s="35" t="s">
        <v>1175</v>
      </c>
      <c r="C1451" s="35" t="str">
        <f aca="false">"0039001"</f>
        <v>0039001</v>
      </c>
      <c r="D1451" s="37" t="s">
        <v>1211</v>
      </c>
      <c r="E1451" s="35" t="n">
        <v>2008</v>
      </c>
      <c r="F1451" s="38" t="n">
        <v>860.66</v>
      </c>
      <c r="G1451" s="39" t="n">
        <v>1</v>
      </c>
      <c r="H1451" s="40" t="n">
        <v>50</v>
      </c>
    </row>
    <row r="1452" s="33" customFormat="true" ht="14.25" hidden="false" customHeight="false" outlineLevel="0" collapsed="false">
      <c r="A1452" s="34" t="n">
        <f aca="false">A1451+1</f>
        <v>1447</v>
      </c>
      <c r="B1452" s="35" t="s">
        <v>1175</v>
      </c>
      <c r="C1452" s="35" t="str">
        <f aca="false">"0042797"</f>
        <v>0042797</v>
      </c>
      <c r="D1452" s="37" t="s">
        <v>1212</v>
      </c>
      <c r="E1452" s="35" t="n">
        <v>2013</v>
      </c>
      <c r="F1452" s="38" t="n">
        <v>7055.56</v>
      </c>
      <c r="G1452" s="39" t="n">
        <v>1</v>
      </c>
      <c r="H1452" s="40" t="n">
        <v>2000</v>
      </c>
    </row>
    <row r="1453" s="33" customFormat="true" ht="14.25" hidden="false" customHeight="false" outlineLevel="0" collapsed="false">
      <c r="A1453" s="34" t="n">
        <f aca="false">A1452+1</f>
        <v>1448</v>
      </c>
      <c r="B1453" s="35" t="s">
        <v>1175</v>
      </c>
      <c r="C1453" s="35" t="str">
        <f aca="false">"0044767"</f>
        <v>0044767</v>
      </c>
      <c r="D1453" s="37" t="s">
        <v>1213</v>
      </c>
      <c r="E1453" s="35" t="n">
        <v>2015</v>
      </c>
      <c r="F1453" s="38" t="n">
        <v>4316.92</v>
      </c>
      <c r="G1453" s="39" t="n">
        <v>1</v>
      </c>
      <c r="H1453" s="40" t="n">
        <v>1450</v>
      </c>
    </row>
    <row r="1454" s="33" customFormat="true" ht="14.25" hidden="false" customHeight="false" outlineLevel="0" collapsed="false">
      <c r="A1454" s="34" t="n">
        <f aca="false">A1453+1</f>
        <v>1449</v>
      </c>
      <c r="B1454" s="35" t="s">
        <v>1214</v>
      </c>
      <c r="C1454" s="35" t="str">
        <f aca="false">"0000046"</f>
        <v>0000046</v>
      </c>
      <c r="D1454" s="37" t="s">
        <v>1215</v>
      </c>
      <c r="E1454" s="35" t="n">
        <v>1977</v>
      </c>
      <c r="F1454" s="38" t="n">
        <f aca="false">146554.46*1.2</f>
        <v>175865.352</v>
      </c>
      <c r="G1454" s="39" t="n">
        <v>1</v>
      </c>
      <c r="H1454" s="40" t="n">
        <v>7040</v>
      </c>
    </row>
    <row r="1455" s="33" customFormat="true" ht="14.25" hidden="false" customHeight="false" outlineLevel="0" collapsed="false">
      <c r="A1455" s="34" t="n">
        <f aca="false">A1454+1</f>
        <v>1450</v>
      </c>
      <c r="B1455" s="35" t="s">
        <v>1214</v>
      </c>
      <c r="C1455" s="35" t="str">
        <f aca="false">"0000088"</f>
        <v>0000088</v>
      </c>
      <c r="D1455" s="37" t="s">
        <v>1216</v>
      </c>
      <c r="E1455" s="35" t="n">
        <v>1977</v>
      </c>
      <c r="F1455" s="38" t="n">
        <f aca="false">4885.71</f>
        <v>4885.71</v>
      </c>
      <c r="G1455" s="39" t="n">
        <v>1</v>
      </c>
      <c r="H1455" s="40" t="n">
        <v>200</v>
      </c>
    </row>
    <row r="1456" s="33" customFormat="true" ht="14.25" hidden="false" customHeight="false" outlineLevel="0" collapsed="false">
      <c r="A1456" s="34" t="n">
        <f aca="false">A1455+1</f>
        <v>1451</v>
      </c>
      <c r="B1456" s="35" t="s">
        <v>1214</v>
      </c>
      <c r="C1456" s="35" t="str">
        <f aca="false">"0000089"</f>
        <v>0000089</v>
      </c>
      <c r="D1456" s="37" t="s">
        <v>1217</v>
      </c>
      <c r="E1456" s="35" t="n">
        <v>1977</v>
      </c>
      <c r="F1456" s="38" t="n">
        <f aca="false">48851.49*1.2</f>
        <v>58621.788</v>
      </c>
      <c r="G1456" s="39" t="n">
        <v>1</v>
      </c>
      <c r="H1456" s="40" t="n">
        <v>2350</v>
      </c>
    </row>
    <row r="1457" s="33" customFormat="true" ht="14.25" hidden="false" customHeight="false" outlineLevel="0" collapsed="false">
      <c r="A1457" s="34" t="n">
        <f aca="false">A1456+1</f>
        <v>1452</v>
      </c>
      <c r="B1457" s="35" t="s">
        <v>1214</v>
      </c>
      <c r="C1457" s="35" t="str">
        <f aca="false">"0000106"</f>
        <v>0000106</v>
      </c>
      <c r="D1457" s="37" t="s">
        <v>301</v>
      </c>
      <c r="E1457" s="35" t="n">
        <v>1974</v>
      </c>
      <c r="F1457" s="38" t="n">
        <v>28.14</v>
      </c>
      <c r="G1457" s="39" t="n">
        <v>1</v>
      </c>
      <c r="H1457" s="40" t="n">
        <v>5</v>
      </c>
    </row>
    <row r="1458" s="33" customFormat="true" ht="14.25" hidden="false" customHeight="false" outlineLevel="0" collapsed="false">
      <c r="A1458" s="34" t="n">
        <f aca="false">A1457+1</f>
        <v>1453</v>
      </c>
      <c r="B1458" s="35" t="s">
        <v>1214</v>
      </c>
      <c r="C1458" s="35" t="str">
        <f aca="false">"0000483"</f>
        <v>0000483</v>
      </c>
      <c r="D1458" s="37" t="s">
        <v>1218</v>
      </c>
      <c r="E1458" s="35" t="n">
        <v>1987</v>
      </c>
      <c r="F1458" s="38" t="n">
        <f aca="false">24422.93</f>
        <v>24422.93</v>
      </c>
      <c r="G1458" s="39" t="n">
        <v>1</v>
      </c>
      <c r="H1458" s="40" t="n">
        <v>1250</v>
      </c>
    </row>
    <row r="1459" s="33" customFormat="true" ht="14.25" hidden="false" customHeight="false" outlineLevel="0" collapsed="false">
      <c r="A1459" s="34" t="n">
        <f aca="false">A1458+1</f>
        <v>1454</v>
      </c>
      <c r="B1459" s="35" t="s">
        <v>1214</v>
      </c>
      <c r="C1459" s="35" t="str">
        <f aca="false">"0000484"</f>
        <v>0000484</v>
      </c>
      <c r="D1459" s="37" t="s">
        <v>1219</v>
      </c>
      <c r="E1459" s="35" t="n">
        <v>1987</v>
      </c>
      <c r="F1459" s="38" t="n">
        <f aca="false">24422.93</f>
        <v>24422.93</v>
      </c>
      <c r="G1459" s="39" t="n">
        <v>2</v>
      </c>
      <c r="H1459" s="40" t="n">
        <v>2500</v>
      </c>
    </row>
    <row r="1460" s="33" customFormat="true" ht="14.25" hidden="false" customHeight="false" outlineLevel="0" collapsed="false">
      <c r="A1460" s="34" t="n">
        <f aca="false">A1459+1</f>
        <v>1455</v>
      </c>
      <c r="B1460" s="35" t="s">
        <v>1214</v>
      </c>
      <c r="C1460" s="35" t="str">
        <f aca="false">"0000489"</f>
        <v>0000489</v>
      </c>
      <c r="D1460" s="37" t="s">
        <v>1220</v>
      </c>
      <c r="E1460" s="35" t="n">
        <v>1972</v>
      </c>
      <c r="F1460" s="38" t="n">
        <f aca="false">24422.93</f>
        <v>24422.93</v>
      </c>
      <c r="G1460" s="39" t="n">
        <v>1</v>
      </c>
      <c r="H1460" s="40" t="n">
        <v>860</v>
      </c>
    </row>
    <row r="1461" s="33" customFormat="true" ht="14.25" hidden="false" customHeight="false" outlineLevel="0" collapsed="false">
      <c r="A1461" s="34" t="n">
        <f aca="false">A1460+1</f>
        <v>1456</v>
      </c>
      <c r="B1461" s="35" t="s">
        <v>1214</v>
      </c>
      <c r="C1461" s="35" t="str">
        <f aca="false">"0000827"</f>
        <v>0000827</v>
      </c>
      <c r="D1461" s="37" t="s">
        <v>301</v>
      </c>
      <c r="E1461" s="35" t="n">
        <v>1974</v>
      </c>
      <c r="F1461" s="38" t="n">
        <v>28.14</v>
      </c>
      <c r="G1461" s="39" t="n">
        <v>1</v>
      </c>
      <c r="H1461" s="40" t="n">
        <v>5</v>
      </c>
    </row>
    <row r="1462" s="33" customFormat="true" ht="14.25" hidden="false" customHeight="false" outlineLevel="0" collapsed="false">
      <c r="A1462" s="34" t="n">
        <f aca="false">A1461+1</f>
        <v>1457</v>
      </c>
      <c r="B1462" s="35" t="s">
        <v>1214</v>
      </c>
      <c r="C1462" s="35" t="str">
        <f aca="false">"0000877"</f>
        <v>0000877</v>
      </c>
      <c r="D1462" s="37" t="s">
        <v>1221</v>
      </c>
      <c r="E1462" s="35" t="n">
        <v>1987</v>
      </c>
      <c r="F1462" s="38" t="n">
        <f aca="false">122125.9*1.2</f>
        <v>146551.08</v>
      </c>
      <c r="G1462" s="39" t="n">
        <v>1</v>
      </c>
      <c r="H1462" s="40" t="n">
        <v>7700</v>
      </c>
    </row>
    <row r="1463" s="33" customFormat="true" ht="14.25" hidden="false" customHeight="false" outlineLevel="0" collapsed="false">
      <c r="A1463" s="34" t="n">
        <f aca="false">A1462+1</f>
        <v>1458</v>
      </c>
      <c r="B1463" s="35" t="s">
        <v>1214</v>
      </c>
      <c r="C1463" s="35" t="str">
        <f aca="false">"0000914"</f>
        <v>0000914</v>
      </c>
      <c r="D1463" s="37" t="s">
        <v>1222</v>
      </c>
      <c r="E1463" s="35" t="n">
        <v>1987</v>
      </c>
      <c r="F1463" s="38" t="n">
        <f aca="false">9771.42</f>
        <v>9771.42</v>
      </c>
      <c r="G1463" s="39" t="n">
        <v>1</v>
      </c>
      <c r="H1463" s="40" t="n">
        <v>500</v>
      </c>
    </row>
    <row r="1464" s="33" customFormat="true" ht="14.25" hidden="false" customHeight="false" outlineLevel="0" collapsed="false">
      <c r="A1464" s="46" t="n">
        <f aca="false">A1463+1</f>
        <v>1459</v>
      </c>
      <c r="B1464" s="35" t="s">
        <v>1214</v>
      </c>
      <c r="C1464" s="35" t="str">
        <f aca="false">"0000954"</f>
        <v>0000954</v>
      </c>
      <c r="D1464" s="37" t="s">
        <v>1223</v>
      </c>
      <c r="E1464" s="35" t="n">
        <v>1947</v>
      </c>
      <c r="F1464" s="38" t="n">
        <f aca="false">1465544.62*1.4</f>
        <v>2051762.468</v>
      </c>
      <c r="G1464" s="39" t="n">
        <v>1</v>
      </c>
      <c r="H1464" s="40" t="n">
        <v>29000</v>
      </c>
    </row>
    <row r="1465" s="33" customFormat="true" ht="14.25" hidden="false" customHeight="false" outlineLevel="0" collapsed="false">
      <c r="A1465" s="34" t="n">
        <f aca="false">A1464+1</f>
        <v>1460</v>
      </c>
      <c r="B1465" s="35" t="s">
        <v>1214</v>
      </c>
      <c r="C1465" s="35" t="str">
        <f aca="false">"0001580"</f>
        <v>0001580</v>
      </c>
      <c r="D1465" s="37" t="s">
        <v>1224</v>
      </c>
      <c r="E1465" s="35" t="n">
        <v>1956</v>
      </c>
      <c r="F1465" s="38" t="n">
        <f aca="false">488514.87*1.3</f>
        <v>635069.331</v>
      </c>
      <c r="G1465" s="39" t="n">
        <v>1</v>
      </c>
      <c r="H1465" s="40" t="n">
        <v>12600</v>
      </c>
    </row>
    <row r="1466" s="33" customFormat="true" ht="14.25" hidden="false" customHeight="false" outlineLevel="0" collapsed="false">
      <c r="A1466" s="34" t="n">
        <f aca="false">A1465+1</f>
        <v>1461</v>
      </c>
      <c r="B1466" s="35" t="s">
        <v>1214</v>
      </c>
      <c r="C1466" s="35" t="str">
        <f aca="false">"0001608"</f>
        <v>0001608</v>
      </c>
      <c r="D1466" s="37" t="s">
        <v>1225</v>
      </c>
      <c r="E1466" s="35" t="n">
        <v>1987</v>
      </c>
      <c r="F1466" s="38" t="n">
        <f aca="false">97702.97*1.2</f>
        <v>117243.564</v>
      </c>
      <c r="G1466" s="39" t="n">
        <v>1</v>
      </c>
      <c r="H1466" s="40" t="n">
        <v>6150</v>
      </c>
    </row>
    <row r="1467" s="33" customFormat="true" ht="14.25" hidden="false" customHeight="false" outlineLevel="0" collapsed="false">
      <c r="A1467" s="34" t="n">
        <f aca="false">A1466+1</f>
        <v>1462</v>
      </c>
      <c r="B1467" s="35" t="s">
        <v>1214</v>
      </c>
      <c r="C1467" s="35" t="str">
        <f aca="false">"0002780"</f>
        <v>0002780</v>
      </c>
      <c r="D1467" s="37" t="s">
        <v>1226</v>
      </c>
      <c r="E1467" s="35" t="n">
        <v>1987</v>
      </c>
      <c r="F1467" s="38" t="n">
        <f aca="false">19542.85</f>
        <v>19542.85</v>
      </c>
      <c r="G1467" s="39" t="n">
        <v>2</v>
      </c>
      <c r="H1467" s="40" t="n">
        <v>1940</v>
      </c>
    </row>
    <row r="1468" s="33" customFormat="true" ht="14.25" hidden="false" customHeight="false" outlineLevel="0" collapsed="false">
      <c r="A1468" s="46" t="n">
        <f aca="false">A1467+1</f>
        <v>1463</v>
      </c>
      <c r="B1468" s="35" t="s">
        <v>1214</v>
      </c>
      <c r="C1468" s="35" t="str">
        <f aca="false">"0002791"</f>
        <v>0002791</v>
      </c>
      <c r="D1468" s="37" t="s">
        <v>1227</v>
      </c>
      <c r="E1468" s="35" t="n">
        <v>1966</v>
      </c>
      <c r="F1468" s="38" t="n">
        <f aca="false">24422.93*1.2</f>
        <v>29307.516</v>
      </c>
      <c r="G1468" s="39" t="n">
        <v>1</v>
      </c>
      <c r="H1468" s="40" t="n">
        <v>860</v>
      </c>
    </row>
    <row r="1469" s="33" customFormat="true" ht="14.25" hidden="false" customHeight="false" outlineLevel="0" collapsed="false">
      <c r="A1469" s="34" t="n">
        <f aca="false">A1468+1</f>
        <v>1464</v>
      </c>
      <c r="B1469" s="35" t="s">
        <v>1214</v>
      </c>
      <c r="C1469" s="35" t="str">
        <f aca="false">"0002863"</f>
        <v>0002863</v>
      </c>
      <c r="D1469" s="37" t="s">
        <v>1228</v>
      </c>
      <c r="E1469" s="35" t="n">
        <v>2002</v>
      </c>
      <c r="F1469" s="38" t="n">
        <f aca="false">6676.6*1.1</f>
        <v>7344.26</v>
      </c>
      <c r="G1469" s="39" t="n">
        <v>3</v>
      </c>
      <c r="H1469" s="40" t="n">
        <v>1410</v>
      </c>
    </row>
    <row r="1470" s="33" customFormat="true" ht="14.25" hidden="false" customHeight="false" outlineLevel="0" collapsed="false">
      <c r="A1470" s="34" t="n">
        <f aca="false">A1469+1</f>
        <v>1465</v>
      </c>
      <c r="B1470" s="35" t="s">
        <v>1214</v>
      </c>
      <c r="C1470" s="35" t="str">
        <f aca="false">"0002956"</f>
        <v>0002956</v>
      </c>
      <c r="D1470" s="37" t="s">
        <v>1229</v>
      </c>
      <c r="E1470" s="35" t="n">
        <v>1987</v>
      </c>
      <c r="F1470" s="38" t="n">
        <f aca="false">73274.42*1.2</f>
        <v>87929.304</v>
      </c>
      <c r="G1470" s="39" t="n">
        <v>1</v>
      </c>
      <c r="H1470" s="40" t="n">
        <v>4610</v>
      </c>
    </row>
    <row r="1471" s="33" customFormat="true" ht="14.25" hidden="false" customHeight="false" outlineLevel="0" collapsed="false">
      <c r="A1471" s="34" t="n">
        <f aca="false">A1470+1</f>
        <v>1466</v>
      </c>
      <c r="B1471" s="35" t="s">
        <v>1214</v>
      </c>
      <c r="C1471" s="35" t="str">
        <f aca="false">"0002957"</f>
        <v>0002957</v>
      </c>
      <c r="D1471" s="37" t="s">
        <v>1230</v>
      </c>
      <c r="E1471" s="35" t="n">
        <v>1987</v>
      </c>
      <c r="F1471" s="38" t="n">
        <f aca="false">48851.49*1.2</f>
        <v>58621.788</v>
      </c>
      <c r="G1471" s="39" t="n">
        <v>1</v>
      </c>
      <c r="H1471" s="40" t="n">
        <v>3080</v>
      </c>
    </row>
    <row r="1472" s="33" customFormat="true" ht="14.25" hidden="false" customHeight="false" outlineLevel="0" collapsed="false">
      <c r="A1472" s="34" t="n">
        <f aca="false">A1471+1</f>
        <v>1467</v>
      </c>
      <c r="B1472" s="35" t="s">
        <v>1214</v>
      </c>
      <c r="C1472" s="35" t="str">
        <f aca="false">"0002958"</f>
        <v>0002958</v>
      </c>
      <c r="D1472" s="37" t="s">
        <v>1231</v>
      </c>
      <c r="E1472" s="35" t="n">
        <v>1987</v>
      </c>
      <c r="F1472" s="38" t="n">
        <f aca="false">34194.35*1.2</f>
        <v>41033.22</v>
      </c>
      <c r="G1472" s="39" t="n">
        <v>1</v>
      </c>
      <c r="H1472" s="40" t="n">
        <v>2150</v>
      </c>
    </row>
    <row r="1473" s="33" customFormat="true" ht="14.25" hidden="false" customHeight="false" outlineLevel="0" collapsed="false">
      <c r="A1473" s="34" t="n">
        <f aca="false">A1472+1</f>
        <v>1468</v>
      </c>
      <c r="B1473" s="35" t="s">
        <v>1214</v>
      </c>
      <c r="C1473" s="35" t="str">
        <f aca="false">"0003029"</f>
        <v>0003029</v>
      </c>
      <c r="D1473" s="37" t="s">
        <v>312</v>
      </c>
      <c r="E1473" s="35" t="n">
        <v>1974</v>
      </c>
      <c r="F1473" s="38" t="n">
        <v>45.03</v>
      </c>
      <c r="G1473" s="39" t="n">
        <v>1</v>
      </c>
      <c r="H1473" s="40" t="n">
        <v>5</v>
      </c>
    </row>
    <row r="1474" s="33" customFormat="true" ht="14.25" hidden="false" customHeight="false" outlineLevel="0" collapsed="false">
      <c r="A1474" s="34" t="n">
        <f aca="false">A1473+1</f>
        <v>1469</v>
      </c>
      <c r="B1474" s="35" t="s">
        <v>1214</v>
      </c>
      <c r="C1474" s="35" t="str">
        <f aca="false">"0003066"</f>
        <v>0003066</v>
      </c>
      <c r="D1474" s="37" t="s">
        <v>1232</v>
      </c>
      <c r="E1474" s="35" t="n">
        <v>1987</v>
      </c>
      <c r="F1474" s="38" t="n">
        <f aca="false">24422.93*1.2</f>
        <v>29307.516</v>
      </c>
      <c r="G1474" s="39" t="n">
        <v>1</v>
      </c>
      <c r="H1474" s="40" t="n">
        <v>1550</v>
      </c>
    </row>
    <row r="1475" s="33" customFormat="true" ht="14.25" hidden="false" customHeight="false" outlineLevel="0" collapsed="false">
      <c r="A1475" s="34" t="n">
        <f aca="false">A1474+1</f>
        <v>1470</v>
      </c>
      <c r="B1475" s="35" t="s">
        <v>1214</v>
      </c>
      <c r="C1475" s="35" t="str">
        <f aca="false">"0003228"</f>
        <v>0003228</v>
      </c>
      <c r="D1475" s="37" t="s">
        <v>1233</v>
      </c>
      <c r="E1475" s="35" t="n">
        <v>1987</v>
      </c>
      <c r="F1475" s="38" t="n">
        <v>33.77</v>
      </c>
      <c r="G1475" s="39" t="n">
        <v>1</v>
      </c>
      <c r="H1475" s="40" t="n">
        <v>5</v>
      </c>
    </row>
    <row r="1476" s="33" customFormat="true" ht="14.25" hidden="false" customHeight="false" outlineLevel="0" collapsed="false">
      <c r="A1476" s="46" t="n">
        <f aca="false">A1475+1</f>
        <v>1471</v>
      </c>
      <c r="B1476" s="35" t="s">
        <v>1214</v>
      </c>
      <c r="C1476" s="35" t="str">
        <f aca="false">"0003243"</f>
        <v>0003243</v>
      </c>
      <c r="D1476" s="37" t="s">
        <v>1234</v>
      </c>
      <c r="E1476" s="35" t="n">
        <v>1979</v>
      </c>
      <c r="F1476" s="38" t="n">
        <f aca="false">9771.42*1.25</f>
        <v>12214.275</v>
      </c>
      <c r="G1476" s="39" t="n">
        <v>2</v>
      </c>
      <c r="H1476" s="40" t="n">
        <v>1040</v>
      </c>
    </row>
    <row r="1477" s="33" customFormat="true" ht="14.25" hidden="false" customHeight="false" outlineLevel="0" collapsed="false">
      <c r="A1477" s="34" t="n">
        <f aca="false">A1476+1</f>
        <v>1472</v>
      </c>
      <c r="B1477" s="35" t="s">
        <v>1214</v>
      </c>
      <c r="C1477" s="35" t="str">
        <f aca="false">"0003495"</f>
        <v>0003495</v>
      </c>
      <c r="D1477" s="37" t="s">
        <v>1235</v>
      </c>
      <c r="E1477" s="35" t="n">
        <v>1987</v>
      </c>
      <c r="F1477" s="38" t="n">
        <f aca="false">24422.93*1.2</f>
        <v>29307.516</v>
      </c>
      <c r="G1477" s="39" t="n">
        <v>1</v>
      </c>
      <c r="H1477" s="40" t="n">
        <v>1450</v>
      </c>
    </row>
    <row r="1478" s="33" customFormat="true" ht="14.25" hidden="false" customHeight="false" outlineLevel="0" collapsed="false">
      <c r="A1478" s="34" t="n">
        <f aca="false">A1477+1</f>
        <v>1473</v>
      </c>
      <c r="B1478" s="35" t="s">
        <v>1214</v>
      </c>
      <c r="C1478" s="35" t="str">
        <f aca="false">"0003527"</f>
        <v>0003527</v>
      </c>
      <c r="D1478" s="37" t="s">
        <v>1236</v>
      </c>
      <c r="E1478" s="35" t="n">
        <v>2003</v>
      </c>
      <c r="F1478" s="38" t="n">
        <f aca="false">3418.17*1.2</f>
        <v>4101.804</v>
      </c>
      <c r="G1478" s="39" t="n">
        <v>1</v>
      </c>
      <c r="H1478" s="40" t="n">
        <v>420</v>
      </c>
    </row>
    <row r="1479" s="33" customFormat="true" ht="14.25" hidden="false" customHeight="false" outlineLevel="0" collapsed="false">
      <c r="A1479" s="34" t="n">
        <f aca="false">A1478+1</f>
        <v>1474</v>
      </c>
      <c r="B1479" s="35" t="s">
        <v>1214</v>
      </c>
      <c r="C1479" s="35" t="str">
        <f aca="false">"0003670"</f>
        <v>0003670</v>
      </c>
      <c r="D1479" s="37" t="s">
        <v>1237</v>
      </c>
      <c r="E1479" s="35" t="n">
        <v>1987</v>
      </c>
      <c r="F1479" s="38" t="n">
        <f aca="false">73274.42*1.2</f>
        <v>87929.304</v>
      </c>
      <c r="G1479" s="39" t="n">
        <v>1</v>
      </c>
      <c r="H1479" s="40" t="n">
        <v>4360</v>
      </c>
    </row>
    <row r="1480" s="33" customFormat="true" ht="14.25" hidden="false" customHeight="false" outlineLevel="0" collapsed="false">
      <c r="A1480" s="34" t="n">
        <f aca="false">A1479+1</f>
        <v>1475</v>
      </c>
      <c r="B1480" s="35" t="s">
        <v>1214</v>
      </c>
      <c r="C1480" s="35" t="str">
        <f aca="false">"0003759"</f>
        <v>0003759</v>
      </c>
      <c r="D1480" s="37" t="s">
        <v>1238</v>
      </c>
      <c r="E1480" s="35" t="n">
        <v>1987</v>
      </c>
      <c r="F1480" s="38" t="n">
        <f aca="false">21280*7.5</f>
        <v>159600</v>
      </c>
      <c r="G1480" s="39" t="n">
        <v>1</v>
      </c>
      <c r="H1480" s="40" t="n">
        <v>7920</v>
      </c>
    </row>
    <row r="1481" s="33" customFormat="true" ht="14.25" hidden="false" customHeight="false" outlineLevel="0" collapsed="false">
      <c r="A1481" s="34" t="n">
        <f aca="false">A1480+1</f>
        <v>1476</v>
      </c>
      <c r="B1481" s="35" t="s">
        <v>1214</v>
      </c>
      <c r="C1481" s="35" t="str">
        <f aca="false">"0004114"</f>
        <v>0004114</v>
      </c>
      <c r="D1481" s="37" t="s">
        <v>42</v>
      </c>
      <c r="E1481" s="35" t="n">
        <v>1987</v>
      </c>
      <c r="F1481" s="38" t="n">
        <v>56.29</v>
      </c>
      <c r="G1481" s="39" t="n">
        <v>1</v>
      </c>
      <c r="H1481" s="40" t="n">
        <v>5</v>
      </c>
    </row>
    <row r="1482" s="33" customFormat="true" ht="14.25" hidden="false" customHeight="false" outlineLevel="0" collapsed="false">
      <c r="A1482" s="34" t="n">
        <f aca="false">A1481+1</f>
        <v>1477</v>
      </c>
      <c r="B1482" s="35" t="s">
        <v>1214</v>
      </c>
      <c r="C1482" s="35" t="str">
        <f aca="false">"0004214"</f>
        <v>0004214</v>
      </c>
      <c r="D1482" s="37" t="s">
        <v>1239</v>
      </c>
      <c r="E1482" s="35" t="n">
        <v>1987</v>
      </c>
      <c r="F1482" s="38" t="n">
        <f aca="false">9771.42</f>
        <v>9771.42</v>
      </c>
      <c r="G1482" s="39" t="n">
        <v>3</v>
      </c>
      <c r="H1482" s="40" t="n">
        <v>1410</v>
      </c>
    </row>
    <row r="1483" s="33" customFormat="true" ht="14.25" hidden="false" customHeight="false" outlineLevel="0" collapsed="false">
      <c r="A1483" s="34" t="n">
        <f aca="false">A1482+1</f>
        <v>1478</v>
      </c>
      <c r="B1483" s="35" t="s">
        <v>1214</v>
      </c>
      <c r="C1483" s="35" t="str">
        <f aca="false">"0004660"</f>
        <v>0004660</v>
      </c>
      <c r="D1483" s="37" t="s">
        <v>1240</v>
      </c>
      <c r="E1483" s="35" t="n">
        <v>1987</v>
      </c>
      <c r="F1483" s="38" t="n">
        <f aca="false">11300*7.5</f>
        <v>84750</v>
      </c>
      <c r="G1483" s="39" t="n">
        <v>6</v>
      </c>
      <c r="H1483" s="40" t="n">
        <v>24240</v>
      </c>
    </row>
    <row r="1484" s="33" customFormat="true" ht="14.25" hidden="false" customHeight="false" outlineLevel="0" collapsed="false">
      <c r="A1484" s="46" t="n">
        <f aca="false">A1483+1</f>
        <v>1479</v>
      </c>
      <c r="B1484" s="35" t="s">
        <v>1214</v>
      </c>
      <c r="C1484" s="35" t="str">
        <f aca="false">"0004916"</f>
        <v>0004916</v>
      </c>
      <c r="D1484" s="37" t="s">
        <v>1241</v>
      </c>
      <c r="E1484" s="35" t="n">
        <v>1979</v>
      </c>
      <c r="F1484" s="38" t="n">
        <f aca="false">73274.42*1.2</f>
        <v>87929.304</v>
      </c>
      <c r="G1484" s="39" t="n">
        <v>2</v>
      </c>
      <c r="H1484" s="40" t="n">
        <v>7400</v>
      </c>
    </row>
    <row r="1485" s="33" customFormat="true" ht="14.25" hidden="false" customHeight="false" outlineLevel="0" collapsed="false">
      <c r="A1485" s="34" t="n">
        <f aca="false">A1484+1</f>
        <v>1480</v>
      </c>
      <c r="B1485" s="35" t="s">
        <v>1214</v>
      </c>
      <c r="C1485" s="35" t="str">
        <f aca="false">"0005082"</f>
        <v>0005082</v>
      </c>
      <c r="D1485" s="37" t="s">
        <v>114</v>
      </c>
      <c r="E1485" s="35" t="n">
        <v>1987</v>
      </c>
      <c r="F1485" s="38" t="n">
        <v>33.77</v>
      </c>
      <c r="G1485" s="39" t="n">
        <v>2</v>
      </c>
      <c r="H1485" s="40" t="n">
        <v>10</v>
      </c>
    </row>
    <row r="1486" s="33" customFormat="true" ht="14.25" hidden="false" customHeight="false" outlineLevel="0" collapsed="false">
      <c r="A1486" s="34" t="n">
        <f aca="false">A1485+1</f>
        <v>1481</v>
      </c>
      <c r="B1486" s="35" t="s">
        <v>1214</v>
      </c>
      <c r="C1486" s="35" t="str">
        <f aca="false">"0005633"</f>
        <v>0005633</v>
      </c>
      <c r="D1486" s="37" t="s">
        <v>301</v>
      </c>
      <c r="E1486" s="35" t="n">
        <v>1987</v>
      </c>
      <c r="F1486" s="38" t="n">
        <v>28.14</v>
      </c>
      <c r="G1486" s="39" t="n">
        <v>1</v>
      </c>
      <c r="H1486" s="40" t="n">
        <v>5</v>
      </c>
    </row>
    <row r="1487" s="33" customFormat="true" ht="14.25" hidden="false" customHeight="false" outlineLevel="0" collapsed="false">
      <c r="A1487" s="34" t="n">
        <f aca="false">A1486+1</f>
        <v>1482</v>
      </c>
      <c r="B1487" s="35" t="s">
        <v>1214</v>
      </c>
      <c r="C1487" s="35" t="str">
        <f aca="false">"0005982"</f>
        <v>0005982</v>
      </c>
      <c r="D1487" s="37" t="s">
        <v>42</v>
      </c>
      <c r="E1487" s="35" t="n">
        <v>1987</v>
      </c>
      <c r="F1487" s="38" t="n">
        <v>56.29</v>
      </c>
      <c r="G1487" s="39" t="n">
        <v>1</v>
      </c>
      <c r="H1487" s="40" t="n">
        <v>5</v>
      </c>
    </row>
    <row r="1488" s="33" customFormat="true" ht="14.25" hidden="false" customHeight="false" outlineLevel="0" collapsed="false">
      <c r="A1488" s="34" t="n">
        <f aca="false">A1487+1</f>
        <v>1483</v>
      </c>
      <c r="B1488" s="35" t="s">
        <v>1214</v>
      </c>
      <c r="C1488" s="35" t="str">
        <f aca="false">"0006156"</f>
        <v>0006156</v>
      </c>
      <c r="D1488" s="37" t="s">
        <v>1242</v>
      </c>
      <c r="E1488" s="35" t="n">
        <v>1985</v>
      </c>
      <c r="F1488" s="38" t="n">
        <f aca="false">2442.86</f>
        <v>2442.86</v>
      </c>
      <c r="G1488" s="39" t="n">
        <v>2</v>
      </c>
      <c r="H1488" s="40" t="n">
        <v>230</v>
      </c>
    </row>
    <row r="1489" s="33" customFormat="true" ht="14.25" hidden="false" customHeight="false" outlineLevel="0" collapsed="false">
      <c r="A1489" s="34" t="n">
        <f aca="false">A1488+1</f>
        <v>1484</v>
      </c>
      <c r="B1489" s="35" t="s">
        <v>1214</v>
      </c>
      <c r="C1489" s="35" t="str">
        <f aca="false">"0006221"</f>
        <v>0006221</v>
      </c>
      <c r="D1489" s="37" t="s">
        <v>1243</v>
      </c>
      <c r="E1489" s="35" t="n">
        <v>1985</v>
      </c>
      <c r="F1489" s="38" t="n">
        <f aca="false">10250*7.5</f>
        <v>76875</v>
      </c>
      <c r="G1489" s="39" t="n">
        <v>6</v>
      </c>
      <c r="H1489" s="40" t="n">
        <v>21000</v>
      </c>
    </row>
    <row r="1490" s="33" customFormat="true" ht="14.25" hidden="false" customHeight="false" outlineLevel="0" collapsed="false">
      <c r="A1490" s="34" t="n">
        <f aca="false">A1489+1</f>
        <v>1485</v>
      </c>
      <c r="B1490" s="35" t="s">
        <v>1214</v>
      </c>
      <c r="C1490" s="35" t="str">
        <f aca="false">"0006244"</f>
        <v>0006244</v>
      </c>
      <c r="D1490" s="37" t="s">
        <v>1244</v>
      </c>
      <c r="E1490" s="35" t="n">
        <v>1985</v>
      </c>
      <c r="F1490" s="38" t="n">
        <v>9771.42</v>
      </c>
      <c r="G1490" s="39" t="n">
        <v>1</v>
      </c>
      <c r="H1490" s="40" t="n">
        <v>450</v>
      </c>
    </row>
    <row r="1491" s="33" customFormat="true" ht="14.25" hidden="false" customHeight="false" outlineLevel="0" collapsed="false">
      <c r="A1491" s="34" t="n">
        <f aca="false">A1490+1</f>
        <v>1486</v>
      </c>
      <c r="B1491" s="35" t="s">
        <v>1214</v>
      </c>
      <c r="C1491" s="35" t="str">
        <f aca="false">"0006506"</f>
        <v>0006506</v>
      </c>
      <c r="D1491" s="37" t="s">
        <v>1245</v>
      </c>
      <c r="E1491" s="35" t="n">
        <v>1985</v>
      </c>
      <c r="F1491" s="38" t="n">
        <f aca="false">19542.85</f>
        <v>19542.85</v>
      </c>
      <c r="G1491" s="39" t="n">
        <v>1</v>
      </c>
      <c r="H1491" s="40" t="n">
        <v>930</v>
      </c>
    </row>
    <row r="1492" s="33" customFormat="true" ht="14.25" hidden="false" customHeight="false" outlineLevel="0" collapsed="false">
      <c r="A1492" s="34" t="n">
        <f aca="false">A1491+1</f>
        <v>1487</v>
      </c>
      <c r="B1492" s="35" t="s">
        <v>1214</v>
      </c>
      <c r="C1492" s="35" t="str">
        <f aca="false">"0006513"</f>
        <v>0006513</v>
      </c>
      <c r="D1492" s="37" t="s">
        <v>1246</v>
      </c>
      <c r="E1492" s="35" t="n">
        <v>1986</v>
      </c>
      <c r="F1492" s="38" t="n">
        <f aca="false">24422.93</f>
        <v>24422.93</v>
      </c>
      <c r="G1492" s="39" t="n">
        <v>1</v>
      </c>
      <c r="H1492" s="40" t="n">
        <v>1160</v>
      </c>
    </row>
    <row r="1493" s="33" customFormat="true" ht="14.25" hidden="false" customHeight="false" outlineLevel="0" collapsed="false">
      <c r="A1493" s="34" t="n">
        <f aca="false">A1492+1</f>
        <v>1488</v>
      </c>
      <c r="B1493" s="35" t="s">
        <v>1214</v>
      </c>
      <c r="C1493" s="35" t="str">
        <f aca="false">"0006516"</f>
        <v>0006516</v>
      </c>
      <c r="D1493" s="37" t="s">
        <v>1247</v>
      </c>
      <c r="E1493" s="35" t="n">
        <v>1985</v>
      </c>
      <c r="F1493" s="38" t="n">
        <f aca="false">24422.93*1.2</f>
        <v>29307.516</v>
      </c>
      <c r="G1493" s="39" t="n">
        <v>1</v>
      </c>
      <c r="H1493" s="40" t="n">
        <v>1400</v>
      </c>
    </row>
    <row r="1494" s="33" customFormat="true" ht="14.25" hidden="false" customHeight="false" outlineLevel="0" collapsed="false">
      <c r="A1494" s="34" t="n">
        <f aca="false">A1493+1</f>
        <v>1489</v>
      </c>
      <c r="B1494" s="35" t="s">
        <v>1214</v>
      </c>
      <c r="C1494" s="35" t="str">
        <f aca="false">"0006953"</f>
        <v>0006953</v>
      </c>
      <c r="D1494" s="37" t="s">
        <v>1248</v>
      </c>
      <c r="E1494" s="35" t="n">
        <v>1986</v>
      </c>
      <c r="F1494" s="38" t="n">
        <f aca="false">1426*7.5</f>
        <v>10695</v>
      </c>
      <c r="G1494" s="39" t="n">
        <v>1</v>
      </c>
      <c r="H1494" s="40" t="n">
        <v>500</v>
      </c>
    </row>
    <row r="1495" s="33" customFormat="true" ht="14.25" hidden="false" customHeight="false" outlineLevel="0" collapsed="false">
      <c r="A1495" s="34" t="n">
        <f aca="false">A1494+1</f>
        <v>1490</v>
      </c>
      <c r="B1495" s="35" t="s">
        <v>1214</v>
      </c>
      <c r="C1495" s="35" t="str">
        <f aca="false">"0004990"</f>
        <v>0004990</v>
      </c>
      <c r="D1495" s="37" t="s">
        <v>1233</v>
      </c>
      <c r="E1495" s="35" t="n">
        <v>1987</v>
      </c>
      <c r="F1495" s="38" t="n">
        <v>45.03</v>
      </c>
      <c r="G1495" s="39" t="n">
        <v>1</v>
      </c>
      <c r="H1495" s="40" t="n">
        <v>5</v>
      </c>
    </row>
    <row r="1496" s="33" customFormat="true" ht="14.25" hidden="false" customHeight="false" outlineLevel="0" collapsed="false">
      <c r="A1496" s="34" t="n">
        <f aca="false">A1495+1</f>
        <v>1491</v>
      </c>
      <c r="B1496" s="35" t="s">
        <v>1214</v>
      </c>
      <c r="C1496" s="35" t="str">
        <f aca="false">"0006996"</f>
        <v>0006996</v>
      </c>
      <c r="D1496" s="37" t="s">
        <v>312</v>
      </c>
      <c r="E1496" s="35" t="n">
        <v>1987</v>
      </c>
      <c r="F1496" s="38" t="n">
        <v>45.03</v>
      </c>
      <c r="G1496" s="39" t="n">
        <v>5</v>
      </c>
      <c r="H1496" s="40" t="n">
        <v>25</v>
      </c>
    </row>
    <row r="1497" s="33" customFormat="true" ht="14.25" hidden="false" customHeight="false" outlineLevel="0" collapsed="false">
      <c r="A1497" s="34" t="n">
        <f aca="false">A1496+1</f>
        <v>1492</v>
      </c>
      <c r="B1497" s="35" t="s">
        <v>1214</v>
      </c>
      <c r="C1497" s="35" t="str">
        <f aca="false">"0007069"</f>
        <v>0007069</v>
      </c>
      <c r="D1497" s="37" t="s">
        <v>1249</v>
      </c>
      <c r="E1497" s="35" t="n">
        <v>1987</v>
      </c>
      <c r="F1497" s="38" t="n">
        <f aca="false">1860*7.5</f>
        <v>13950</v>
      </c>
      <c r="G1497" s="39" t="n">
        <v>1</v>
      </c>
      <c r="H1497" s="40" t="n">
        <v>660</v>
      </c>
    </row>
    <row r="1498" s="33" customFormat="true" ht="14.25" hidden="false" customHeight="false" outlineLevel="0" collapsed="false">
      <c r="A1498" s="34" t="n">
        <f aca="false">A1497+1</f>
        <v>1493</v>
      </c>
      <c r="B1498" s="35" t="s">
        <v>1214</v>
      </c>
      <c r="C1498" s="35" t="str">
        <f aca="false">"0007087"</f>
        <v>0007087</v>
      </c>
      <c r="D1498" s="37" t="s">
        <v>1250</v>
      </c>
      <c r="E1498" s="35" t="n">
        <v>1988</v>
      </c>
      <c r="F1498" s="38" t="n">
        <f aca="false">39080.06*1.2</f>
        <v>46896.072</v>
      </c>
      <c r="G1498" s="39" t="n">
        <v>1</v>
      </c>
      <c r="H1498" s="40" t="n">
        <v>2370</v>
      </c>
    </row>
    <row r="1499" s="33" customFormat="true" ht="14.25" hidden="false" customHeight="false" outlineLevel="0" collapsed="false">
      <c r="A1499" s="34" t="n">
        <f aca="false">A1498+1</f>
        <v>1494</v>
      </c>
      <c r="B1499" s="35" t="s">
        <v>1214</v>
      </c>
      <c r="C1499" s="35" t="str">
        <f aca="false">"0007473"</f>
        <v>0007473</v>
      </c>
      <c r="D1499" s="37" t="s">
        <v>1249</v>
      </c>
      <c r="E1499" s="35" t="n">
        <v>1987</v>
      </c>
      <c r="F1499" s="38" t="n">
        <f aca="false">1860*7.5</f>
        <v>13950</v>
      </c>
      <c r="G1499" s="39" t="n">
        <v>2</v>
      </c>
      <c r="H1499" s="40" t="n">
        <v>1320</v>
      </c>
    </row>
    <row r="1500" s="33" customFormat="true" ht="14.25" hidden="false" customHeight="false" outlineLevel="0" collapsed="false">
      <c r="A1500" s="34" t="n">
        <f aca="false">A1499+1</f>
        <v>1495</v>
      </c>
      <c r="B1500" s="35" t="s">
        <v>1214</v>
      </c>
      <c r="C1500" s="35" t="str">
        <f aca="false">"0008028"</f>
        <v>0008028</v>
      </c>
      <c r="D1500" s="37" t="s">
        <v>114</v>
      </c>
      <c r="E1500" s="35" t="n">
        <v>1987</v>
      </c>
      <c r="F1500" s="38" t="n">
        <v>33.77</v>
      </c>
      <c r="G1500" s="39" t="n">
        <v>3</v>
      </c>
      <c r="H1500" s="40" t="n">
        <v>15</v>
      </c>
    </row>
    <row r="1501" s="33" customFormat="true" ht="14.25" hidden="false" customHeight="false" outlineLevel="0" collapsed="false">
      <c r="A1501" s="34" t="n">
        <f aca="false">A1500+1</f>
        <v>1496</v>
      </c>
      <c r="B1501" s="35" t="s">
        <v>1214</v>
      </c>
      <c r="C1501" s="35" t="str">
        <f aca="false">"0008707"</f>
        <v>0008707</v>
      </c>
      <c r="D1501" s="37" t="s">
        <v>1251</v>
      </c>
      <c r="E1501" s="35" t="n">
        <v>1987</v>
      </c>
      <c r="F1501" s="38" t="n">
        <v>112.57</v>
      </c>
      <c r="G1501" s="39" t="n">
        <v>1</v>
      </c>
      <c r="H1501" s="40" t="n">
        <v>5</v>
      </c>
    </row>
    <row r="1502" s="33" customFormat="true" ht="14.25" hidden="false" customHeight="false" outlineLevel="0" collapsed="false">
      <c r="A1502" s="34" t="n">
        <f aca="false">A1501+1</f>
        <v>1497</v>
      </c>
      <c r="B1502" s="35" t="s">
        <v>1214</v>
      </c>
      <c r="C1502" s="35" t="str">
        <f aca="false">"0008759"</f>
        <v>0008759</v>
      </c>
      <c r="D1502" s="37" t="s">
        <v>312</v>
      </c>
      <c r="E1502" s="35" t="n">
        <v>1987</v>
      </c>
      <c r="F1502" s="38" t="n">
        <v>45.03</v>
      </c>
      <c r="G1502" s="39" t="n">
        <v>6</v>
      </c>
      <c r="H1502" s="40" t="n">
        <v>30</v>
      </c>
    </row>
    <row r="1503" s="33" customFormat="true" ht="14.25" hidden="false" customHeight="false" outlineLevel="0" collapsed="false">
      <c r="A1503" s="34" t="n">
        <f aca="false">A1502+1</f>
        <v>1498</v>
      </c>
      <c r="B1503" s="35" t="s">
        <v>1214</v>
      </c>
      <c r="C1503" s="35" t="str">
        <f aca="false">"0009156"</f>
        <v>0009156</v>
      </c>
      <c r="D1503" s="37" t="s">
        <v>301</v>
      </c>
      <c r="E1503" s="35" t="n">
        <v>1987</v>
      </c>
      <c r="F1503" s="38" t="n">
        <v>28.14</v>
      </c>
      <c r="G1503" s="39" t="n">
        <v>1</v>
      </c>
      <c r="H1503" s="40" t="n">
        <v>5</v>
      </c>
    </row>
    <row r="1504" s="33" customFormat="true" ht="14.25" hidden="false" customHeight="false" outlineLevel="0" collapsed="false">
      <c r="A1504" s="34" t="n">
        <f aca="false">A1503+1</f>
        <v>1499</v>
      </c>
      <c r="B1504" s="35" t="s">
        <v>1214</v>
      </c>
      <c r="C1504" s="35" t="str">
        <f aca="false">"0009310"</f>
        <v>0009310</v>
      </c>
      <c r="D1504" s="37" t="s">
        <v>42</v>
      </c>
      <c r="E1504" s="35" t="n">
        <v>1987</v>
      </c>
      <c r="F1504" s="38" t="n">
        <v>56.29</v>
      </c>
      <c r="G1504" s="39" t="n">
        <v>2</v>
      </c>
      <c r="H1504" s="40" t="n">
        <v>10</v>
      </c>
    </row>
    <row r="1505" s="33" customFormat="true" ht="14.25" hidden="false" customHeight="false" outlineLevel="0" collapsed="false">
      <c r="A1505" s="34" t="n">
        <f aca="false">A1504+1</f>
        <v>1500</v>
      </c>
      <c r="B1505" s="35" t="s">
        <v>1214</v>
      </c>
      <c r="C1505" s="35" t="str">
        <f aca="false">"0009575"</f>
        <v>0009575</v>
      </c>
      <c r="D1505" s="37" t="s">
        <v>1252</v>
      </c>
      <c r="E1505" s="35" t="n">
        <v>1996</v>
      </c>
      <c r="F1505" s="38" t="n">
        <f aca="false">30608*1.1</f>
        <v>33668.8</v>
      </c>
      <c r="G1505" s="39" t="n">
        <v>10</v>
      </c>
      <c r="H1505" s="40" t="n">
        <v>19000</v>
      </c>
    </row>
    <row r="1506" s="33" customFormat="true" ht="14.25" hidden="false" customHeight="false" outlineLevel="0" collapsed="false">
      <c r="A1506" s="34" t="n">
        <f aca="false">A1505+1</f>
        <v>1501</v>
      </c>
      <c r="B1506" s="35" t="s">
        <v>1214</v>
      </c>
      <c r="C1506" s="35" t="str">
        <f aca="false">"0009699"</f>
        <v>0009699</v>
      </c>
      <c r="D1506" s="37" t="s">
        <v>312</v>
      </c>
      <c r="E1506" s="35" t="n">
        <v>1987</v>
      </c>
      <c r="F1506" s="38" t="n">
        <v>50.66</v>
      </c>
      <c r="G1506" s="39" t="n">
        <v>1</v>
      </c>
      <c r="H1506" s="40" t="n">
        <v>5</v>
      </c>
    </row>
    <row r="1507" s="33" customFormat="true" ht="14.25" hidden="false" customHeight="false" outlineLevel="0" collapsed="false">
      <c r="A1507" s="34" t="n">
        <f aca="false">A1506+1</f>
        <v>1502</v>
      </c>
      <c r="B1507" s="35" t="s">
        <v>1214</v>
      </c>
      <c r="C1507" s="35" t="str">
        <f aca="false">"0010287"</f>
        <v>0010287</v>
      </c>
      <c r="D1507" s="37" t="s">
        <v>1253</v>
      </c>
      <c r="E1507" s="35" t="n">
        <v>1987</v>
      </c>
      <c r="F1507" s="38" t="n">
        <v>202.63</v>
      </c>
      <c r="G1507" s="39" t="n">
        <v>1</v>
      </c>
      <c r="H1507" s="40" t="n">
        <v>10</v>
      </c>
    </row>
    <row r="1508" s="33" customFormat="true" ht="14.25" hidden="false" customHeight="false" outlineLevel="0" collapsed="false">
      <c r="A1508" s="34" t="n">
        <f aca="false">A1507+1</f>
        <v>1503</v>
      </c>
      <c r="B1508" s="35" t="s">
        <v>1214</v>
      </c>
      <c r="C1508" s="35" t="str">
        <f aca="false">"0010293"</f>
        <v>0010293</v>
      </c>
      <c r="D1508" s="37" t="s">
        <v>1254</v>
      </c>
      <c r="E1508" s="35" t="n">
        <v>1987</v>
      </c>
      <c r="F1508" s="38" t="n">
        <v>73.17</v>
      </c>
      <c r="G1508" s="39" t="n">
        <v>2</v>
      </c>
      <c r="H1508" s="40" t="n">
        <v>10</v>
      </c>
    </row>
    <row r="1509" s="33" customFormat="true" ht="14.25" hidden="false" customHeight="false" outlineLevel="0" collapsed="false">
      <c r="A1509" s="34" t="n">
        <f aca="false">A1508+1</f>
        <v>1504</v>
      </c>
      <c r="B1509" s="35" t="s">
        <v>1214</v>
      </c>
      <c r="C1509" s="35" t="str">
        <f aca="false">"0010482"</f>
        <v>0010482</v>
      </c>
      <c r="D1509" s="37" t="s">
        <v>312</v>
      </c>
      <c r="E1509" s="35" t="n">
        <v>1987</v>
      </c>
      <c r="F1509" s="38" t="n">
        <v>67.54</v>
      </c>
      <c r="G1509" s="39" t="n">
        <v>2</v>
      </c>
      <c r="H1509" s="40" t="n">
        <v>10</v>
      </c>
    </row>
    <row r="1510" s="33" customFormat="true" ht="14.25" hidden="false" customHeight="false" outlineLevel="0" collapsed="false">
      <c r="A1510" s="34" t="n">
        <f aca="false">A1509+1</f>
        <v>1505</v>
      </c>
      <c r="B1510" s="35" t="s">
        <v>1214</v>
      </c>
      <c r="C1510" s="35" t="str">
        <f aca="false">"0010503"</f>
        <v>0010503</v>
      </c>
      <c r="D1510" s="37" t="s">
        <v>114</v>
      </c>
      <c r="E1510" s="35" t="n">
        <v>1987</v>
      </c>
      <c r="F1510" s="38" t="n">
        <v>61.92</v>
      </c>
      <c r="G1510" s="39" t="n">
        <v>2</v>
      </c>
      <c r="H1510" s="40" t="n">
        <v>10</v>
      </c>
    </row>
    <row r="1511" s="33" customFormat="true" ht="14.25" hidden="false" customHeight="false" outlineLevel="0" collapsed="false">
      <c r="A1511" s="34" t="n">
        <f aca="false">A1510+1</f>
        <v>1506</v>
      </c>
      <c r="B1511" s="35" t="s">
        <v>1214</v>
      </c>
      <c r="C1511" s="35" t="str">
        <f aca="false">"0010553"</f>
        <v>0010553</v>
      </c>
      <c r="D1511" s="37" t="s">
        <v>1255</v>
      </c>
      <c r="E1511" s="35" t="n">
        <v>1999</v>
      </c>
      <c r="F1511" s="38" t="n">
        <v>26520</v>
      </c>
      <c r="G1511" s="39" t="n">
        <v>1</v>
      </c>
      <c r="H1511" s="40" t="n">
        <v>1570</v>
      </c>
    </row>
    <row r="1512" s="33" customFormat="true" ht="14.25" hidden="false" customHeight="false" outlineLevel="0" collapsed="false">
      <c r="A1512" s="34" t="n">
        <f aca="false">A1511+1</f>
        <v>1507</v>
      </c>
      <c r="B1512" s="35" t="s">
        <v>1214</v>
      </c>
      <c r="C1512" s="35" t="str">
        <f aca="false">"0010640"</f>
        <v>0010640</v>
      </c>
      <c r="D1512" s="37" t="s">
        <v>1256</v>
      </c>
      <c r="E1512" s="35" t="n">
        <v>1999</v>
      </c>
      <c r="F1512" s="38" t="n">
        <v>114122.42</v>
      </c>
      <c r="G1512" s="39" t="n">
        <v>1</v>
      </c>
      <c r="H1512" s="40" t="n">
        <v>6800</v>
      </c>
    </row>
    <row r="1513" s="33" customFormat="true" ht="14.25" hidden="false" customHeight="false" outlineLevel="0" collapsed="false">
      <c r="A1513" s="34" t="n">
        <f aca="false">A1512+1</f>
        <v>1508</v>
      </c>
      <c r="B1513" s="35" t="s">
        <v>1214</v>
      </c>
      <c r="C1513" s="35" t="str">
        <f aca="false">"0010874"</f>
        <v>0010874</v>
      </c>
      <c r="D1513" s="37" t="s">
        <v>1257</v>
      </c>
      <c r="E1513" s="35" t="n">
        <v>2000</v>
      </c>
      <c r="F1513" s="38" t="n">
        <v>7490</v>
      </c>
      <c r="G1513" s="39" t="n">
        <v>1</v>
      </c>
      <c r="H1513" s="40" t="n">
        <v>420</v>
      </c>
    </row>
    <row r="1514" s="33" customFormat="true" ht="14.25" hidden="false" customHeight="false" outlineLevel="0" collapsed="false">
      <c r="A1514" s="34" t="n">
        <f aca="false">A1513+1</f>
        <v>1509</v>
      </c>
      <c r="B1514" s="35" t="s">
        <v>1214</v>
      </c>
      <c r="C1514" s="35" t="str">
        <f aca="false">"0010990"</f>
        <v>0010990</v>
      </c>
      <c r="D1514" s="37" t="s">
        <v>114</v>
      </c>
      <c r="E1514" s="35" t="n">
        <v>1987</v>
      </c>
      <c r="F1514" s="38" t="n">
        <v>33.77</v>
      </c>
      <c r="G1514" s="39" t="n">
        <v>1</v>
      </c>
      <c r="H1514" s="40" t="n">
        <v>5</v>
      </c>
    </row>
    <row r="1515" s="33" customFormat="true" ht="14.25" hidden="false" customHeight="false" outlineLevel="0" collapsed="false">
      <c r="A1515" s="34" t="n">
        <f aca="false">A1514+1</f>
        <v>1510</v>
      </c>
      <c r="B1515" s="35" t="s">
        <v>1214</v>
      </c>
      <c r="C1515" s="35" t="str">
        <f aca="false">"0011447"</f>
        <v>0011447</v>
      </c>
      <c r="D1515" s="37" t="s">
        <v>114</v>
      </c>
      <c r="E1515" s="35" t="n">
        <v>1987</v>
      </c>
      <c r="F1515" s="38" t="n">
        <v>45.03</v>
      </c>
      <c r="G1515" s="39" t="n">
        <v>2</v>
      </c>
      <c r="H1515" s="40" t="n">
        <v>10</v>
      </c>
    </row>
    <row r="1516" s="33" customFormat="true" ht="14.25" hidden="false" customHeight="false" outlineLevel="0" collapsed="false">
      <c r="A1516" s="34" t="n">
        <f aca="false">A1515+1</f>
        <v>1511</v>
      </c>
      <c r="B1516" s="35" t="s">
        <v>1214</v>
      </c>
      <c r="C1516" s="35" t="str">
        <f aca="false">"0011530"</f>
        <v>0011530</v>
      </c>
      <c r="D1516" s="37" t="s">
        <v>42</v>
      </c>
      <c r="E1516" s="35" t="n">
        <v>1987</v>
      </c>
      <c r="F1516" s="38" t="n">
        <v>78.8</v>
      </c>
      <c r="G1516" s="39" t="n">
        <v>1</v>
      </c>
      <c r="H1516" s="40" t="n">
        <v>5</v>
      </c>
    </row>
    <row r="1517" s="33" customFormat="true" ht="14.25" hidden="false" customHeight="false" outlineLevel="0" collapsed="false">
      <c r="A1517" s="34" t="n">
        <f aca="false">A1516+1</f>
        <v>1512</v>
      </c>
      <c r="B1517" s="35" t="s">
        <v>1214</v>
      </c>
      <c r="C1517" s="35" t="str">
        <f aca="false">"0011663"</f>
        <v>0011663</v>
      </c>
      <c r="D1517" s="37" t="s">
        <v>1258</v>
      </c>
      <c r="E1517" s="35" t="n">
        <v>2000</v>
      </c>
      <c r="F1517" s="38" t="n">
        <v>20972.88</v>
      </c>
      <c r="G1517" s="39" t="n">
        <v>10</v>
      </c>
      <c r="H1517" s="40" t="n">
        <v>13000</v>
      </c>
    </row>
    <row r="1518" s="33" customFormat="true" ht="14.25" hidden="false" customHeight="false" outlineLevel="0" collapsed="false">
      <c r="A1518" s="34" t="n">
        <f aca="false">A1517+1</f>
        <v>1513</v>
      </c>
      <c r="B1518" s="35" t="s">
        <v>1214</v>
      </c>
      <c r="C1518" s="35" t="str">
        <f aca="false">"0011673"</f>
        <v>0011673</v>
      </c>
      <c r="D1518" s="37" t="s">
        <v>1259</v>
      </c>
      <c r="E1518" s="35" t="n">
        <v>2000</v>
      </c>
      <c r="F1518" s="38" t="n">
        <v>14327.8</v>
      </c>
      <c r="G1518" s="39" t="n">
        <v>10</v>
      </c>
      <c r="H1518" s="40" t="n">
        <v>8600</v>
      </c>
    </row>
    <row r="1519" s="33" customFormat="true" ht="14.25" hidden="false" customHeight="false" outlineLevel="0" collapsed="false">
      <c r="A1519" s="34" t="n">
        <f aca="false">A1518+1</f>
        <v>1514</v>
      </c>
      <c r="B1519" s="35" t="s">
        <v>1214</v>
      </c>
      <c r="C1519" s="35" t="str">
        <f aca="false">"0011683"</f>
        <v>0011683</v>
      </c>
      <c r="D1519" s="37" t="s">
        <v>1260</v>
      </c>
      <c r="E1519" s="35" t="n">
        <v>2000</v>
      </c>
      <c r="F1519" s="38" t="n">
        <v>66008.25</v>
      </c>
      <c r="G1519" s="39" t="n">
        <v>1</v>
      </c>
      <c r="H1519" s="40" t="n">
        <v>4000</v>
      </c>
    </row>
    <row r="1520" s="33" customFormat="true" ht="14.25" hidden="false" customHeight="false" outlineLevel="0" collapsed="false">
      <c r="A1520" s="34" t="n">
        <f aca="false">A1519+1</f>
        <v>1515</v>
      </c>
      <c r="B1520" s="35" t="s">
        <v>1214</v>
      </c>
      <c r="C1520" s="35" t="str">
        <f aca="false">"0011684"</f>
        <v>0011684</v>
      </c>
      <c r="D1520" s="37" t="s">
        <v>1261</v>
      </c>
      <c r="E1520" s="35" t="n">
        <v>2000</v>
      </c>
      <c r="F1520" s="38" t="n">
        <v>77646.8</v>
      </c>
      <c r="G1520" s="39" t="n">
        <v>1</v>
      </c>
      <c r="H1520" s="40" t="n">
        <v>4700</v>
      </c>
    </row>
    <row r="1521" s="33" customFormat="true" ht="14.25" hidden="false" customHeight="false" outlineLevel="0" collapsed="false">
      <c r="A1521" s="34" t="n">
        <f aca="false">A1520+1</f>
        <v>1516</v>
      </c>
      <c r="B1521" s="35" t="s">
        <v>1214</v>
      </c>
      <c r="C1521" s="35" t="str">
        <f aca="false">"0012137"</f>
        <v>0012137</v>
      </c>
      <c r="D1521" s="37" t="s">
        <v>311</v>
      </c>
      <c r="E1521" s="35" t="n">
        <v>1987</v>
      </c>
      <c r="F1521" s="38" t="n">
        <v>22.51</v>
      </c>
      <c r="G1521" s="39" t="n">
        <v>2</v>
      </c>
      <c r="H1521" s="40" t="n">
        <v>10</v>
      </c>
    </row>
    <row r="1522" s="33" customFormat="true" ht="14.25" hidden="false" customHeight="false" outlineLevel="0" collapsed="false">
      <c r="A1522" s="34" t="n">
        <f aca="false">A1521+1</f>
        <v>1517</v>
      </c>
      <c r="B1522" s="35" t="s">
        <v>1214</v>
      </c>
      <c r="C1522" s="35" t="str">
        <f aca="false">"0012295"</f>
        <v>0012295</v>
      </c>
      <c r="D1522" s="37" t="s">
        <v>1262</v>
      </c>
      <c r="E1522" s="35" t="n">
        <v>2001</v>
      </c>
      <c r="F1522" s="38" t="n">
        <v>19787.62</v>
      </c>
      <c r="G1522" s="39" t="n">
        <v>5</v>
      </c>
      <c r="H1522" s="40" t="n">
        <v>6050</v>
      </c>
    </row>
    <row r="1523" s="33" customFormat="true" ht="14.25" hidden="false" customHeight="false" outlineLevel="0" collapsed="false">
      <c r="A1523" s="34" t="n">
        <f aca="false">A1522+1</f>
        <v>1518</v>
      </c>
      <c r="B1523" s="35" t="s">
        <v>1214</v>
      </c>
      <c r="C1523" s="35" t="str">
        <f aca="false">"0012300"</f>
        <v>0012300</v>
      </c>
      <c r="D1523" s="37" t="s">
        <v>1263</v>
      </c>
      <c r="E1523" s="35" t="n">
        <v>2001</v>
      </c>
      <c r="F1523" s="38" t="n">
        <v>6805</v>
      </c>
      <c r="G1523" s="39" t="n">
        <v>5</v>
      </c>
      <c r="H1523" s="40" t="n">
        <v>2100</v>
      </c>
    </row>
    <row r="1524" s="33" customFormat="true" ht="14.25" hidden="false" customHeight="false" outlineLevel="0" collapsed="false">
      <c r="A1524" s="34" t="n">
        <f aca="false">A1523+1</f>
        <v>1519</v>
      </c>
      <c r="B1524" s="35" t="s">
        <v>1214</v>
      </c>
      <c r="C1524" s="35" t="str">
        <f aca="false">"0012305"</f>
        <v>0012305</v>
      </c>
      <c r="D1524" s="37" t="s">
        <v>1264</v>
      </c>
      <c r="E1524" s="35" t="n">
        <v>2001</v>
      </c>
      <c r="F1524" s="38" t="n">
        <v>12250.64</v>
      </c>
      <c r="G1524" s="39" t="n">
        <v>3</v>
      </c>
      <c r="H1524" s="40" t="n">
        <v>2250</v>
      </c>
    </row>
    <row r="1525" s="33" customFormat="true" ht="14.25" hidden="false" customHeight="false" outlineLevel="0" collapsed="false">
      <c r="A1525" s="34" t="n">
        <f aca="false">A1524+1</f>
        <v>1520</v>
      </c>
      <c r="B1525" s="35" t="s">
        <v>1214</v>
      </c>
      <c r="C1525" s="35" t="str">
        <f aca="false">"0012381"</f>
        <v>0012381</v>
      </c>
      <c r="D1525" s="37" t="s">
        <v>1264</v>
      </c>
      <c r="E1525" s="35" t="n">
        <v>2001</v>
      </c>
      <c r="F1525" s="38" t="n">
        <v>7010</v>
      </c>
      <c r="G1525" s="39" t="n">
        <v>2</v>
      </c>
      <c r="H1525" s="40" t="n">
        <v>860</v>
      </c>
    </row>
    <row r="1526" s="33" customFormat="true" ht="14.25" hidden="false" customHeight="false" outlineLevel="0" collapsed="false">
      <c r="A1526" s="34" t="n">
        <f aca="false">A1525+1</f>
        <v>1521</v>
      </c>
      <c r="B1526" s="35" t="s">
        <v>1214</v>
      </c>
      <c r="C1526" s="35" t="str">
        <f aca="false">"0012391"</f>
        <v>0012391</v>
      </c>
      <c r="D1526" s="37" t="s">
        <v>311</v>
      </c>
      <c r="E1526" s="35" t="n">
        <v>1968</v>
      </c>
      <c r="F1526" s="38" t="n">
        <v>658.56</v>
      </c>
      <c r="G1526" s="39" t="n">
        <v>1</v>
      </c>
      <c r="H1526" s="40" t="n">
        <v>20</v>
      </c>
    </row>
    <row r="1527" s="33" customFormat="true" ht="14.25" hidden="false" customHeight="false" outlineLevel="0" collapsed="false">
      <c r="A1527" s="34" t="n">
        <f aca="false">A1526+1</f>
        <v>1522</v>
      </c>
      <c r="B1527" s="35" t="s">
        <v>1214</v>
      </c>
      <c r="C1527" s="35" t="str">
        <f aca="false">"0012471"</f>
        <v>0012471</v>
      </c>
      <c r="D1527" s="37" t="s">
        <v>191</v>
      </c>
      <c r="E1527" s="35" t="n">
        <v>1987</v>
      </c>
      <c r="F1527" s="38" t="n">
        <v>90.06</v>
      </c>
      <c r="G1527" s="39" t="n">
        <v>31</v>
      </c>
      <c r="H1527" s="40" t="n">
        <v>155</v>
      </c>
    </row>
    <row r="1528" s="33" customFormat="true" ht="14.25" hidden="false" customHeight="false" outlineLevel="0" collapsed="false">
      <c r="A1528" s="34" t="n">
        <f aca="false">A1527+1</f>
        <v>1523</v>
      </c>
      <c r="B1528" s="35" t="s">
        <v>1214</v>
      </c>
      <c r="C1528" s="35" t="str">
        <f aca="false">"0012545"</f>
        <v>0012545</v>
      </c>
      <c r="D1528" s="37" t="s">
        <v>311</v>
      </c>
      <c r="E1528" s="35" t="n">
        <v>1969</v>
      </c>
      <c r="F1528" s="38" t="n">
        <v>658.56</v>
      </c>
      <c r="G1528" s="39" t="n">
        <v>1</v>
      </c>
      <c r="H1528" s="40" t="n">
        <v>20</v>
      </c>
    </row>
    <row r="1529" s="33" customFormat="true" ht="14.25" hidden="false" customHeight="false" outlineLevel="0" collapsed="false">
      <c r="A1529" s="34" t="n">
        <f aca="false">A1528+1</f>
        <v>1524</v>
      </c>
      <c r="B1529" s="35" t="s">
        <v>1214</v>
      </c>
      <c r="C1529" s="35" t="str">
        <f aca="false">"0013001"</f>
        <v>0013001</v>
      </c>
      <c r="D1529" s="37" t="s">
        <v>1265</v>
      </c>
      <c r="E1529" s="35" t="n">
        <v>2002</v>
      </c>
      <c r="F1529" s="38" t="n">
        <v>9535</v>
      </c>
      <c r="G1529" s="39" t="n">
        <v>1</v>
      </c>
      <c r="H1529" s="40" t="n">
        <v>590</v>
      </c>
    </row>
    <row r="1530" s="33" customFormat="true" ht="14.25" hidden="false" customHeight="false" outlineLevel="0" collapsed="false">
      <c r="A1530" s="34" t="n">
        <f aca="false">A1529+1</f>
        <v>1525</v>
      </c>
      <c r="B1530" s="35" t="s">
        <v>1214</v>
      </c>
      <c r="C1530" s="35" t="str">
        <f aca="false">"0013488"</f>
        <v>0013488</v>
      </c>
      <c r="D1530" s="37" t="s">
        <v>1266</v>
      </c>
      <c r="E1530" s="35" t="n">
        <v>2003</v>
      </c>
      <c r="F1530" s="38" t="n">
        <v>10023.17</v>
      </c>
      <c r="G1530" s="39" t="n">
        <v>1</v>
      </c>
      <c r="H1530" s="40" t="n">
        <v>600</v>
      </c>
    </row>
    <row r="1531" s="33" customFormat="true" ht="14.25" hidden="false" customHeight="false" outlineLevel="0" collapsed="false">
      <c r="A1531" s="34" t="n">
        <f aca="false">A1530+1</f>
        <v>1526</v>
      </c>
      <c r="B1531" s="35" t="s">
        <v>1214</v>
      </c>
      <c r="C1531" s="35" t="str">
        <f aca="false">"0013529"</f>
        <v>0013529</v>
      </c>
      <c r="D1531" s="37" t="s">
        <v>1107</v>
      </c>
      <c r="E1531" s="35" t="n">
        <v>1987</v>
      </c>
      <c r="F1531" s="38" t="n">
        <v>95.69</v>
      </c>
      <c r="G1531" s="39" t="n">
        <v>6</v>
      </c>
      <c r="H1531" s="40" t="n">
        <v>30</v>
      </c>
    </row>
    <row r="1532" s="33" customFormat="true" ht="14.25" hidden="false" customHeight="false" outlineLevel="0" collapsed="false">
      <c r="A1532" s="34" t="n">
        <f aca="false">A1531+1</f>
        <v>1527</v>
      </c>
      <c r="B1532" s="35" t="s">
        <v>1214</v>
      </c>
      <c r="C1532" s="35" t="str">
        <f aca="false">"0013883"</f>
        <v>0013883</v>
      </c>
      <c r="D1532" s="37" t="s">
        <v>1267</v>
      </c>
      <c r="E1532" s="35" t="n">
        <v>2004</v>
      </c>
      <c r="F1532" s="38" t="n">
        <v>83871.72</v>
      </c>
      <c r="G1532" s="39" t="n">
        <v>2</v>
      </c>
      <c r="H1532" s="44" t="s">
        <v>121</v>
      </c>
    </row>
    <row r="1533" s="33" customFormat="true" ht="14.25" hidden="false" customHeight="false" outlineLevel="0" collapsed="false">
      <c r="A1533" s="34" t="n">
        <f aca="false">A1532+1</f>
        <v>1528</v>
      </c>
      <c r="B1533" s="35" t="s">
        <v>1214</v>
      </c>
      <c r="C1533" s="35" t="str">
        <f aca="false">"0014481"</f>
        <v>0014481</v>
      </c>
      <c r="D1533" s="37" t="s">
        <v>42</v>
      </c>
      <c r="E1533" s="35" t="n">
        <v>1987</v>
      </c>
      <c r="F1533" s="38" t="n">
        <v>73.17</v>
      </c>
      <c r="G1533" s="39" t="n">
        <v>1</v>
      </c>
      <c r="H1533" s="40" t="n">
        <v>5</v>
      </c>
    </row>
    <row r="1534" s="33" customFormat="true" ht="14.25" hidden="false" customHeight="false" outlineLevel="0" collapsed="false">
      <c r="A1534" s="34" t="n">
        <f aca="false">A1533+1</f>
        <v>1529</v>
      </c>
      <c r="B1534" s="35" t="s">
        <v>1214</v>
      </c>
      <c r="C1534" s="35" t="str">
        <f aca="false">"0013542"</f>
        <v>0013542</v>
      </c>
      <c r="D1534" s="37" t="s">
        <v>114</v>
      </c>
      <c r="E1534" s="35" t="n">
        <v>1987</v>
      </c>
      <c r="F1534" s="38" t="n">
        <v>106.95</v>
      </c>
      <c r="G1534" s="39" t="n">
        <v>1</v>
      </c>
      <c r="H1534" s="40" t="n">
        <v>5</v>
      </c>
    </row>
    <row r="1535" s="33" customFormat="true" ht="14.25" hidden="false" customHeight="false" outlineLevel="0" collapsed="false">
      <c r="A1535" s="34" t="n">
        <f aca="false">A1534+1</f>
        <v>1530</v>
      </c>
      <c r="B1535" s="35" t="s">
        <v>1214</v>
      </c>
      <c r="C1535" s="35" t="str">
        <f aca="false">"0014556"</f>
        <v>0014556</v>
      </c>
      <c r="D1535" s="37" t="s">
        <v>114</v>
      </c>
      <c r="E1535" s="35" t="n">
        <v>1987</v>
      </c>
      <c r="F1535" s="38" t="n">
        <v>56.29</v>
      </c>
      <c r="G1535" s="39" t="n">
        <v>10</v>
      </c>
      <c r="H1535" s="40" t="n">
        <v>50</v>
      </c>
    </row>
    <row r="1536" s="33" customFormat="true" ht="14.25" hidden="false" customHeight="false" outlineLevel="0" collapsed="false">
      <c r="A1536" s="34" t="n">
        <f aca="false">A1535+1</f>
        <v>1531</v>
      </c>
      <c r="B1536" s="35" t="s">
        <v>1214</v>
      </c>
      <c r="C1536" s="35" t="str">
        <f aca="false">"0014580"</f>
        <v>0014580</v>
      </c>
      <c r="D1536" s="37" t="s">
        <v>1253</v>
      </c>
      <c r="E1536" s="35" t="n">
        <v>1987</v>
      </c>
      <c r="F1536" s="38" t="n">
        <v>129.46</v>
      </c>
      <c r="G1536" s="39" t="n">
        <v>1</v>
      </c>
      <c r="H1536" s="40" t="n">
        <v>5</v>
      </c>
    </row>
    <row r="1537" s="33" customFormat="true" ht="14.25" hidden="false" customHeight="false" outlineLevel="0" collapsed="false">
      <c r="A1537" s="34" t="n">
        <f aca="false">A1536+1</f>
        <v>1532</v>
      </c>
      <c r="B1537" s="35" t="s">
        <v>1214</v>
      </c>
      <c r="C1537" s="35" t="str">
        <f aca="false">"0014888"</f>
        <v>0014888</v>
      </c>
      <c r="D1537" s="37" t="s">
        <v>1268</v>
      </c>
      <c r="E1537" s="35" t="n">
        <v>2005</v>
      </c>
      <c r="F1537" s="38" t="n">
        <v>623</v>
      </c>
      <c r="G1537" s="39" t="n">
        <v>1</v>
      </c>
      <c r="H1537" s="40" t="n">
        <v>40</v>
      </c>
    </row>
    <row r="1538" s="33" customFormat="true" ht="14.25" hidden="false" customHeight="false" outlineLevel="0" collapsed="false">
      <c r="A1538" s="34" t="n">
        <f aca="false">A1537+1</f>
        <v>1533</v>
      </c>
      <c r="B1538" s="35" t="s">
        <v>1214</v>
      </c>
      <c r="C1538" s="35" t="str">
        <f aca="false">"0015067"</f>
        <v>0015067</v>
      </c>
      <c r="D1538" s="37" t="s">
        <v>1269</v>
      </c>
      <c r="E1538" s="35" t="n">
        <v>2005</v>
      </c>
      <c r="F1538" s="38" t="n">
        <v>18662</v>
      </c>
      <c r="G1538" s="39" t="n">
        <v>3</v>
      </c>
      <c r="H1538" s="40" t="n">
        <v>4125</v>
      </c>
    </row>
    <row r="1539" s="33" customFormat="true" ht="14.25" hidden="false" customHeight="false" outlineLevel="0" collapsed="false">
      <c r="A1539" s="34" t="n">
        <f aca="false">A1538+1</f>
        <v>1534</v>
      </c>
      <c r="B1539" s="35" t="s">
        <v>1214</v>
      </c>
      <c r="C1539" s="35" t="str">
        <f aca="false">"0015070"</f>
        <v>0015070</v>
      </c>
      <c r="D1539" s="37" t="s">
        <v>1259</v>
      </c>
      <c r="E1539" s="35" t="n">
        <v>2006</v>
      </c>
      <c r="F1539" s="38" t="n">
        <v>5785</v>
      </c>
      <c r="G1539" s="39" t="n">
        <v>10</v>
      </c>
      <c r="H1539" s="40" t="n">
        <v>4800</v>
      </c>
    </row>
    <row r="1540" s="33" customFormat="true" ht="14.25" hidden="false" customHeight="false" outlineLevel="0" collapsed="false">
      <c r="A1540" s="34" t="n">
        <f aca="false">A1539+1</f>
        <v>1535</v>
      </c>
      <c r="B1540" s="35" t="s">
        <v>1214</v>
      </c>
      <c r="C1540" s="35" t="str">
        <f aca="false">"0015073"</f>
        <v>0015073</v>
      </c>
      <c r="D1540" s="37" t="s">
        <v>1270</v>
      </c>
      <c r="E1540" s="35" t="n">
        <v>2005</v>
      </c>
      <c r="F1540" s="38" t="n">
        <v>168666</v>
      </c>
      <c r="G1540" s="39" t="n">
        <v>1</v>
      </c>
      <c r="H1540" s="40" t="n">
        <v>12420</v>
      </c>
    </row>
    <row r="1541" s="33" customFormat="true" ht="14.25" hidden="false" customHeight="false" outlineLevel="0" collapsed="false">
      <c r="A1541" s="34" t="n">
        <f aca="false">A1540+1</f>
        <v>1536</v>
      </c>
      <c r="B1541" s="35" t="s">
        <v>1214</v>
      </c>
      <c r="C1541" s="35" t="str">
        <f aca="false">"0015126"</f>
        <v>0015126</v>
      </c>
      <c r="D1541" s="37" t="s">
        <v>1271</v>
      </c>
      <c r="E1541" s="35" t="n">
        <v>2005</v>
      </c>
      <c r="F1541" s="38" t="n">
        <v>18662</v>
      </c>
      <c r="G1541" s="39" t="n">
        <v>2</v>
      </c>
      <c r="H1541" s="40" t="n">
        <v>2750</v>
      </c>
    </row>
    <row r="1542" s="33" customFormat="true" ht="14.25" hidden="false" customHeight="false" outlineLevel="0" collapsed="false">
      <c r="A1542" s="34" t="n">
        <f aca="false">A1541+1</f>
        <v>1537</v>
      </c>
      <c r="B1542" s="35" t="s">
        <v>1214</v>
      </c>
      <c r="C1542" s="35" t="str">
        <f aca="false">"0015792"</f>
        <v>0015792</v>
      </c>
      <c r="D1542" s="37" t="s">
        <v>1272</v>
      </c>
      <c r="E1542" s="35" t="n">
        <v>2006</v>
      </c>
      <c r="F1542" s="38" t="n">
        <v>5780</v>
      </c>
      <c r="G1542" s="39" t="n">
        <v>1</v>
      </c>
      <c r="H1542" s="40" t="n">
        <v>350</v>
      </c>
    </row>
    <row r="1543" s="33" customFormat="true" ht="14.25" hidden="false" customHeight="false" outlineLevel="0" collapsed="false">
      <c r="A1543" s="34" t="n">
        <f aca="false">A1542+1</f>
        <v>1538</v>
      </c>
      <c r="B1543" s="35" t="s">
        <v>1214</v>
      </c>
      <c r="C1543" s="35" t="str">
        <f aca="false">"0015864"</f>
        <v>0015864</v>
      </c>
      <c r="D1543" s="37" t="s">
        <v>1269</v>
      </c>
      <c r="E1543" s="35" t="n">
        <v>2006</v>
      </c>
      <c r="F1543" s="38" t="n">
        <v>17067</v>
      </c>
      <c r="G1543" s="39" t="n">
        <v>2</v>
      </c>
      <c r="H1543" s="40" t="n">
        <v>2840</v>
      </c>
    </row>
    <row r="1544" s="33" customFormat="true" ht="14.25" hidden="false" customHeight="false" outlineLevel="0" collapsed="false">
      <c r="A1544" s="34" t="n">
        <f aca="false">A1543+1</f>
        <v>1539</v>
      </c>
      <c r="B1544" s="35" t="s">
        <v>1214</v>
      </c>
      <c r="C1544" s="35" t="str">
        <f aca="false">"0015868"</f>
        <v>0015868</v>
      </c>
      <c r="D1544" s="37" t="s">
        <v>1273</v>
      </c>
      <c r="E1544" s="35" t="n">
        <v>2006</v>
      </c>
      <c r="F1544" s="38" t="n">
        <v>18762</v>
      </c>
      <c r="G1544" s="39" t="n">
        <v>1</v>
      </c>
      <c r="H1544" s="40" t="n">
        <v>1560</v>
      </c>
    </row>
    <row r="1545" s="33" customFormat="true" ht="14.25" hidden="false" customHeight="false" outlineLevel="0" collapsed="false">
      <c r="A1545" s="34" t="n">
        <f aca="false">A1544+1</f>
        <v>1540</v>
      </c>
      <c r="B1545" s="35" t="s">
        <v>1214</v>
      </c>
      <c r="C1545" s="35" t="str">
        <f aca="false">"0015870"</f>
        <v>0015870</v>
      </c>
      <c r="D1545" s="37" t="s">
        <v>1274</v>
      </c>
      <c r="E1545" s="35" t="n">
        <v>2006</v>
      </c>
      <c r="F1545" s="38" t="n">
        <v>5495</v>
      </c>
      <c r="G1545" s="39" t="n">
        <v>1</v>
      </c>
      <c r="H1545" s="40" t="n">
        <v>560</v>
      </c>
    </row>
    <row r="1546" s="33" customFormat="true" ht="14.25" hidden="false" customHeight="false" outlineLevel="0" collapsed="false">
      <c r="A1546" s="34" t="n">
        <f aca="false">A1545+1</f>
        <v>1541</v>
      </c>
      <c r="B1546" s="35" t="s">
        <v>1214</v>
      </c>
      <c r="C1546" s="35" t="str">
        <f aca="false">"0015871"</f>
        <v>0015871</v>
      </c>
      <c r="D1546" s="37" t="s">
        <v>1111</v>
      </c>
      <c r="E1546" s="35" t="n">
        <v>2006</v>
      </c>
      <c r="F1546" s="38" t="n">
        <v>815</v>
      </c>
      <c r="G1546" s="39" t="n">
        <v>1</v>
      </c>
      <c r="H1546" s="40" t="n">
        <v>50</v>
      </c>
    </row>
    <row r="1547" s="33" customFormat="true" ht="14.25" hidden="false" customHeight="false" outlineLevel="0" collapsed="false">
      <c r="A1547" s="34" t="n">
        <f aca="false">A1546+1</f>
        <v>1542</v>
      </c>
      <c r="B1547" s="35" t="s">
        <v>1214</v>
      </c>
      <c r="C1547" s="35" t="str">
        <f aca="false">"0015872"</f>
        <v>0015872</v>
      </c>
      <c r="D1547" s="37" t="s">
        <v>1275</v>
      </c>
      <c r="E1547" s="35" t="n">
        <v>2006</v>
      </c>
      <c r="F1547" s="38" t="n">
        <v>445</v>
      </c>
      <c r="G1547" s="39" t="n">
        <v>1</v>
      </c>
      <c r="H1547" s="40" t="n">
        <v>25</v>
      </c>
    </row>
    <row r="1548" s="33" customFormat="true" ht="14.25" hidden="false" customHeight="false" outlineLevel="0" collapsed="false">
      <c r="A1548" s="34" t="n">
        <f aca="false">A1547+1</f>
        <v>1543</v>
      </c>
      <c r="B1548" s="35" t="s">
        <v>1214</v>
      </c>
      <c r="C1548" s="35" t="str">
        <f aca="false">"0015918"</f>
        <v>0015918</v>
      </c>
      <c r="D1548" s="37" t="s">
        <v>1271</v>
      </c>
      <c r="E1548" s="35" t="n">
        <v>2006</v>
      </c>
      <c r="F1548" s="38" t="n">
        <v>18762</v>
      </c>
      <c r="G1548" s="39" t="n">
        <v>2</v>
      </c>
      <c r="H1548" s="40" t="n">
        <v>3120</v>
      </c>
    </row>
    <row r="1549" s="33" customFormat="true" ht="14.25" hidden="false" customHeight="false" outlineLevel="0" collapsed="false">
      <c r="A1549" s="34" t="n">
        <f aca="false">A1548+1</f>
        <v>1544</v>
      </c>
      <c r="B1549" s="35" t="s">
        <v>1214</v>
      </c>
      <c r="C1549" s="35" t="str">
        <f aca="false">"0016272"</f>
        <v>0016272</v>
      </c>
      <c r="D1549" s="37" t="s">
        <v>1276</v>
      </c>
      <c r="E1549" s="35" t="n">
        <v>2006</v>
      </c>
      <c r="F1549" s="38" t="n">
        <v>550</v>
      </c>
      <c r="G1549" s="39" t="n">
        <v>2</v>
      </c>
      <c r="H1549" s="40" t="n">
        <v>90</v>
      </c>
    </row>
    <row r="1550" s="33" customFormat="true" ht="14.25" hidden="false" customHeight="false" outlineLevel="0" collapsed="false">
      <c r="A1550" s="34" t="n">
        <f aca="false">A1549+1</f>
        <v>1545</v>
      </c>
      <c r="B1550" s="35" t="s">
        <v>1214</v>
      </c>
      <c r="C1550" s="35" t="str">
        <f aca="false">"0016281"</f>
        <v>0016281</v>
      </c>
      <c r="D1550" s="37" t="s">
        <v>1277</v>
      </c>
      <c r="E1550" s="35" t="n">
        <v>2006</v>
      </c>
      <c r="F1550" s="38" t="n">
        <v>8289</v>
      </c>
      <c r="G1550" s="39" t="n">
        <v>1</v>
      </c>
      <c r="H1550" s="40" t="n">
        <v>530</v>
      </c>
    </row>
    <row r="1551" s="33" customFormat="true" ht="14.25" hidden="false" customHeight="false" outlineLevel="0" collapsed="false">
      <c r="A1551" s="34" t="n">
        <f aca="false">A1550+1</f>
        <v>1546</v>
      </c>
      <c r="B1551" s="35" t="s">
        <v>1214</v>
      </c>
      <c r="C1551" s="35" t="str">
        <f aca="false">"0016282"</f>
        <v>0016282</v>
      </c>
      <c r="D1551" s="37" t="s">
        <v>1278</v>
      </c>
      <c r="E1551" s="35" t="n">
        <v>2006</v>
      </c>
      <c r="F1551" s="38" t="n">
        <v>6467</v>
      </c>
      <c r="G1551" s="39" t="n">
        <v>4</v>
      </c>
      <c r="H1551" s="40" t="n">
        <v>1680</v>
      </c>
    </row>
    <row r="1552" s="33" customFormat="true" ht="14.25" hidden="false" customHeight="false" outlineLevel="0" collapsed="false">
      <c r="A1552" s="34" t="n">
        <f aca="false">A1551+1</f>
        <v>1547</v>
      </c>
      <c r="B1552" s="35" t="s">
        <v>1214</v>
      </c>
      <c r="C1552" s="35" t="str">
        <f aca="false">"0016929"</f>
        <v>0016929</v>
      </c>
      <c r="D1552" s="37" t="s">
        <v>1279</v>
      </c>
      <c r="E1552" s="35" t="n">
        <v>1987</v>
      </c>
      <c r="F1552" s="38" t="n">
        <f aca="false">14657.13*1.2</f>
        <v>17588.556</v>
      </c>
      <c r="G1552" s="39" t="n">
        <v>1</v>
      </c>
      <c r="H1552" s="40" t="n">
        <v>920</v>
      </c>
    </row>
    <row r="1553" s="33" customFormat="true" ht="14.25" hidden="false" customHeight="false" outlineLevel="0" collapsed="false">
      <c r="A1553" s="34" t="n">
        <f aca="false">A1552+1</f>
        <v>1548</v>
      </c>
      <c r="B1553" s="35" t="s">
        <v>1214</v>
      </c>
      <c r="C1553" s="35" t="str">
        <f aca="false">"0017039"</f>
        <v>0017039</v>
      </c>
      <c r="D1553" s="37" t="s">
        <v>1280</v>
      </c>
      <c r="E1553" s="35" t="n">
        <v>1987</v>
      </c>
      <c r="F1553" s="38" t="n">
        <f aca="false">34194.35*1.2</f>
        <v>41033.22</v>
      </c>
      <c r="G1553" s="39" t="n">
        <v>1</v>
      </c>
      <c r="H1553" s="40" t="n">
        <v>2150</v>
      </c>
    </row>
    <row r="1554" s="33" customFormat="true" ht="14.25" hidden="false" customHeight="false" outlineLevel="0" collapsed="false">
      <c r="A1554" s="34" t="n">
        <f aca="false">A1553+1</f>
        <v>1549</v>
      </c>
      <c r="B1554" s="35" t="s">
        <v>1214</v>
      </c>
      <c r="C1554" s="35" t="str">
        <f aca="false">"0017262"</f>
        <v>0017262</v>
      </c>
      <c r="D1554" s="37" t="s">
        <v>1281</v>
      </c>
      <c r="E1554" s="35" t="n">
        <v>1987</v>
      </c>
      <c r="F1554" s="38" t="n">
        <f aca="false">24422.93*1.2</f>
        <v>29307.516</v>
      </c>
      <c r="G1554" s="39" t="n">
        <v>1</v>
      </c>
      <c r="H1554" s="40" t="n">
        <v>1540</v>
      </c>
    </row>
    <row r="1555" s="33" customFormat="true" ht="14.25" hidden="false" customHeight="false" outlineLevel="0" collapsed="false">
      <c r="A1555" s="34" t="n">
        <f aca="false">A1554+1</f>
        <v>1550</v>
      </c>
      <c r="B1555" s="35" t="s">
        <v>1214</v>
      </c>
      <c r="C1555" s="35" t="str">
        <f aca="false">"0017306"</f>
        <v>0017306</v>
      </c>
      <c r="D1555" s="37" t="s">
        <v>1282</v>
      </c>
      <c r="E1555" s="35" t="n">
        <v>1987</v>
      </c>
      <c r="F1555" s="38" t="n">
        <f aca="false">34194.35*1.2</f>
        <v>41033.22</v>
      </c>
      <c r="G1555" s="39" t="n">
        <v>1</v>
      </c>
      <c r="H1555" s="40" t="n">
        <v>2150</v>
      </c>
    </row>
    <row r="1556" s="33" customFormat="true" ht="14.25" hidden="false" customHeight="false" outlineLevel="0" collapsed="false">
      <c r="A1556" s="34" t="n">
        <f aca="false">A1555+1</f>
        <v>1551</v>
      </c>
      <c r="B1556" s="35" t="s">
        <v>1214</v>
      </c>
      <c r="C1556" s="35" t="str">
        <f aca="false">"0017307"</f>
        <v>0017307</v>
      </c>
      <c r="D1556" s="37" t="s">
        <v>1283</v>
      </c>
      <c r="E1556" s="35" t="n">
        <v>1987</v>
      </c>
      <c r="F1556" s="38" t="n">
        <f aca="false">97702.97*1.2</f>
        <v>117243.564</v>
      </c>
      <c r="G1556" s="39" t="n">
        <v>1</v>
      </c>
      <c r="H1556" s="40" t="n">
        <v>6150</v>
      </c>
    </row>
    <row r="1557" s="33" customFormat="true" ht="14.25" hidden="false" customHeight="false" outlineLevel="0" collapsed="false">
      <c r="A1557" s="34" t="n">
        <f aca="false">A1556+1</f>
        <v>1552</v>
      </c>
      <c r="B1557" s="35" t="s">
        <v>1214</v>
      </c>
      <c r="C1557" s="35" t="str">
        <f aca="false">"0017322"</f>
        <v>0017322</v>
      </c>
      <c r="D1557" s="37" t="s">
        <v>1284</v>
      </c>
      <c r="E1557" s="35" t="n">
        <v>1987</v>
      </c>
      <c r="F1557" s="38" t="n">
        <f aca="false">2442.86*1.2</f>
        <v>2931.432</v>
      </c>
      <c r="G1557" s="39" t="n">
        <v>20</v>
      </c>
      <c r="H1557" s="40" t="n">
        <v>3000</v>
      </c>
    </row>
    <row r="1558" s="33" customFormat="true" ht="14.25" hidden="false" customHeight="false" outlineLevel="0" collapsed="false">
      <c r="A1558" s="34" t="n">
        <f aca="false">A1557+1</f>
        <v>1553</v>
      </c>
      <c r="B1558" s="35" t="s">
        <v>1214</v>
      </c>
      <c r="C1558" s="35" t="str">
        <f aca="false">"0017343"</f>
        <v>0017343</v>
      </c>
      <c r="D1558" s="37" t="s">
        <v>1285</v>
      </c>
      <c r="E1558" s="35" t="n">
        <v>1987</v>
      </c>
      <c r="F1558" s="38" t="n">
        <f aca="false">2442.86*1.2</f>
        <v>2931.432</v>
      </c>
      <c r="G1558" s="39" t="n">
        <v>2</v>
      </c>
      <c r="H1558" s="40" t="n">
        <v>300</v>
      </c>
    </row>
    <row r="1559" s="33" customFormat="true" ht="14.25" hidden="false" customHeight="false" outlineLevel="0" collapsed="false">
      <c r="A1559" s="34" t="n">
        <f aca="false">A1558+1</f>
        <v>1554</v>
      </c>
      <c r="B1559" s="35" t="s">
        <v>1214</v>
      </c>
      <c r="C1559" s="35" t="str">
        <f aca="false">"0019599"</f>
        <v>0019599</v>
      </c>
      <c r="D1559" s="37" t="s">
        <v>1116</v>
      </c>
      <c r="E1559" s="35" t="n">
        <v>1977</v>
      </c>
      <c r="F1559" s="38" t="n">
        <v>129.46</v>
      </c>
      <c r="G1559" s="39" t="n">
        <v>1</v>
      </c>
      <c r="H1559" s="40" t="n">
        <v>5</v>
      </c>
    </row>
    <row r="1560" s="33" customFormat="true" ht="14.25" hidden="false" customHeight="false" outlineLevel="0" collapsed="false">
      <c r="A1560" s="34" t="n">
        <f aca="false">A1559+1</f>
        <v>1555</v>
      </c>
      <c r="B1560" s="35" t="s">
        <v>1214</v>
      </c>
      <c r="C1560" s="35" t="str">
        <f aca="false">"0020191"</f>
        <v>0020191</v>
      </c>
      <c r="D1560" s="37" t="s">
        <v>1286</v>
      </c>
      <c r="E1560" s="35" t="n">
        <v>1978</v>
      </c>
      <c r="F1560" s="38" t="n">
        <v>658.56</v>
      </c>
      <c r="G1560" s="39" t="n">
        <v>1</v>
      </c>
      <c r="H1560" s="40" t="n">
        <v>25</v>
      </c>
    </row>
    <row r="1561" s="33" customFormat="true" ht="14.25" hidden="false" customHeight="false" outlineLevel="0" collapsed="false">
      <c r="A1561" s="34" t="n">
        <f aca="false">A1560+1</f>
        <v>1556</v>
      </c>
      <c r="B1561" s="35" t="s">
        <v>1214</v>
      </c>
      <c r="C1561" s="35" t="str">
        <f aca="false">"0025269"</f>
        <v>0025269</v>
      </c>
      <c r="D1561" s="37" t="s">
        <v>42</v>
      </c>
      <c r="E1561" s="35" t="n">
        <v>1985</v>
      </c>
      <c r="F1561" s="38" t="n">
        <v>5285.35</v>
      </c>
      <c r="G1561" s="39" t="n">
        <v>1</v>
      </c>
      <c r="H1561" s="40" t="n">
        <v>240</v>
      </c>
    </row>
    <row r="1562" s="33" customFormat="true" ht="14.25" hidden="false" customHeight="false" outlineLevel="0" collapsed="false">
      <c r="A1562" s="34" t="n">
        <f aca="false">A1561+1</f>
        <v>1557</v>
      </c>
      <c r="B1562" s="35" t="s">
        <v>1214</v>
      </c>
      <c r="C1562" s="35" t="str">
        <f aca="false">"0031294"</f>
        <v>0031294</v>
      </c>
      <c r="D1562" s="37" t="s">
        <v>1287</v>
      </c>
      <c r="E1562" s="35" t="n">
        <v>1991</v>
      </c>
      <c r="F1562" s="38" t="n">
        <v>1080.71</v>
      </c>
      <c r="G1562" s="39" t="n">
        <v>4</v>
      </c>
      <c r="H1562" s="40" t="n">
        <v>200</v>
      </c>
    </row>
    <row r="1563" s="33" customFormat="true" ht="14.25" hidden="false" customHeight="false" outlineLevel="0" collapsed="false">
      <c r="A1563" s="34" t="n">
        <f aca="false">A1562+1</f>
        <v>1558</v>
      </c>
      <c r="B1563" s="35" t="s">
        <v>1214</v>
      </c>
      <c r="C1563" s="35" t="str">
        <f aca="false">"0031306"</f>
        <v>0031306</v>
      </c>
      <c r="D1563" s="37" t="s">
        <v>301</v>
      </c>
      <c r="E1563" s="35" t="n">
        <v>1991</v>
      </c>
      <c r="F1563" s="38" t="n">
        <v>1801.18</v>
      </c>
      <c r="G1563" s="39" t="n">
        <v>1</v>
      </c>
      <c r="H1563" s="40" t="n">
        <v>90</v>
      </c>
    </row>
    <row r="1564" s="33" customFormat="true" ht="14.25" hidden="false" customHeight="false" outlineLevel="0" collapsed="false">
      <c r="A1564" s="34" t="n">
        <f aca="false">A1563+1</f>
        <v>1559</v>
      </c>
      <c r="B1564" s="35" t="s">
        <v>1214</v>
      </c>
      <c r="C1564" s="35" t="str">
        <f aca="false">"0033406"</f>
        <v>0033406</v>
      </c>
      <c r="D1564" s="37" t="s">
        <v>42</v>
      </c>
      <c r="E1564" s="35" t="n">
        <v>2003</v>
      </c>
      <c r="F1564" s="38" t="n">
        <v>100</v>
      </c>
      <c r="G1564" s="39" t="n">
        <v>1</v>
      </c>
      <c r="H1564" s="40" t="n">
        <v>5</v>
      </c>
    </row>
    <row r="1565" s="33" customFormat="true" ht="14.25" hidden="false" customHeight="false" outlineLevel="0" collapsed="false">
      <c r="A1565" s="34" t="n">
        <f aca="false">A1564+1</f>
        <v>1560</v>
      </c>
      <c r="B1565" s="35" t="s">
        <v>1214</v>
      </c>
      <c r="C1565" s="35" t="str">
        <f aca="false">"0033408"</f>
        <v>0033408</v>
      </c>
      <c r="D1565" s="37" t="s">
        <v>1288</v>
      </c>
      <c r="E1565" s="35" t="n">
        <v>2003</v>
      </c>
      <c r="F1565" s="38" t="n">
        <v>150</v>
      </c>
      <c r="G1565" s="39" t="n">
        <v>2</v>
      </c>
      <c r="H1565" s="40" t="n">
        <v>20</v>
      </c>
    </row>
    <row r="1566" s="33" customFormat="true" ht="14.25" hidden="false" customHeight="false" outlineLevel="0" collapsed="false">
      <c r="A1566" s="34" t="n">
        <f aca="false">A1565+1</f>
        <v>1561</v>
      </c>
      <c r="B1566" s="35" t="s">
        <v>1214</v>
      </c>
      <c r="C1566" s="35" t="str">
        <f aca="false">"0033409"</f>
        <v>0033409</v>
      </c>
      <c r="D1566" s="37" t="s">
        <v>57</v>
      </c>
      <c r="E1566" s="35" t="n">
        <v>2003</v>
      </c>
      <c r="F1566" s="38" t="n">
        <v>100</v>
      </c>
      <c r="G1566" s="39" t="n">
        <v>2</v>
      </c>
      <c r="H1566" s="40" t="n">
        <v>10</v>
      </c>
    </row>
    <row r="1567" s="33" customFormat="true" ht="14.25" hidden="false" customHeight="false" outlineLevel="0" collapsed="false">
      <c r="A1567" s="34" t="n">
        <f aca="false">A1566+1</f>
        <v>1562</v>
      </c>
      <c r="B1567" s="35" t="s">
        <v>1214</v>
      </c>
      <c r="C1567" s="35" t="str">
        <f aca="false">"0033411"</f>
        <v>0033411</v>
      </c>
      <c r="D1567" s="37" t="s">
        <v>1289</v>
      </c>
      <c r="E1567" s="35" t="n">
        <v>2003</v>
      </c>
      <c r="F1567" s="38" t="n">
        <v>50</v>
      </c>
      <c r="G1567" s="39" t="n">
        <v>1</v>
      </c>
      <c r="H1567" s="40" t="n">
        <v>5</v>
      </c>
    </row>
    <row r="1568" s="33" customFormat="true" ht="14.25" hidden="false" customHeight="false" outlineLevel="0" collapsed="false">
      <c r="A1568" s="34" t="n">
        <f aca="false">A1567+1</f>
        <v>1563</v>
      </c>
      <c r="B1568" s="35" t="s">
        <v>1214</v>
      </c>
      <c r="C1568" s="35" t="str">
        <f aca="false">"0033416"</f>
        <v>0033416</v>
      </c>
      <c r="D1568" s="37" t="s">
        <v>42</v>
      </c>
      <c r="E1568" s="35" t="n">
        <v>2003</v>
      </c>
      <c r="F1568" s="38" t="n">
        <v>100</v>
      </c>
      <c r="G1568" s="39" t="n">
        <v>1</v>
      </c>
      <c r="H1568" s="40" t="n">
        <v>5</v>
      </c>
    </row>
    <row r="1569" s="33" customFormat="true" ht="14.25" hidden="false" customHeight="false" outlineLevel="0" collapsed="false">
      <c r="A1569" s="34" t="n">
        <f aca="false">A1568+1</f>
        <v>1564</v>
      </c>
      <c r="B1569" s="35" t="s">
        <v>1214</v>
      </c>
      <c r="C1569" s="35" t="str">
        <f aca="false">"0033417"</f>
        <v>0033417</v>
      </c>
      <c r="D1569" s="37" t="s">
        <v>1288</v>
      </c>
      <c r="E1569" s="35" t="n">
        <v>2003</v>
      </c>
      <c r="F1569" s="38" t="n">
        <v>100</v>
      </c>
      <c r="G1569" s="39" t="n">
        <v>1</v>
      </c>
      <c r="H1569" s="40" t="n">
        <v>5</v>
      </c>
    </row>
    <row r="1570" s="33" customFormat="true" ht="14.25" hidden="false" customHeight="false" outlineLevel="0" collapsed="false">
      <c r="A1570" s="34" t="n">
        <f aca="false">A1569+1</f>
        <v>1565</v>
      </c>
      <c r="B1570" s="35" t="s">
        <v>1214</v>
      </c>
      <c r="C1570" s="35" t="str">
        <f aca="false">"0033419"</f>
        <v>0033419</v>
      </c>
      <c r="D1570" s="37" t="s">
        <v>1290</v>
      </c>
      <c r="E1570" s="35" t="n">
        <v>2003</v>
      </c>
      <c r="F1570" s="38" t="n">
        <v>1000</v>
      </c>
      <c r="G1570" s="39" t="n">
        <v>1</v>
      </c>
      <c r="H1570" s="40" t="n">
        <v>100</v>
      </c>
    </row>
    <row r="1571" s="33" customFormat="true" ht="14.25" hidden="false" customHeight="false" outlineLevel="0" collapsed="false">
      <c r="A1571" s="34" t="n">
        <f aca="false">A1570+1</f>
        <v>1566</v>
      </c>
      <c r="B1571" s="35" t="s">
        <v>1214</v>
      </c>
      <c r="C1571" s="35" t="str">
        <f aca="false">"0034226"</f>
        <v>0034226</v>
      </c>
      <c r="D1571" s="37" t="s">
        <v>1291</v>
      </c>
      <c r="E1571" s="35" t="n">
        <v>2006</v>
      </c>
      <c r="F1571" s="38" t="n">
        <v>2195</v>
      </c>
      <c r="G1571" s="39" t="n">
        <v>1</v>
      </c>
      <c r="H1571" s="40" t="n">
        <v>140</v>
      </c>
    </row>
    <row r="1572" s="33" customFormat="true" ht="14.25" hidden="false" customHeight="false" outlineLevel="0" collapsed="false">
      <c r="A1572" s="34" t="n">
        <f aca="false">A1571+1</f>
        <v>1567</v>
      </c>
      <c r="B1572" s="35" t="s">
        <v>1214</v>
      </c>
      <c r="C1572" s="35" t="str">
        <f aca="false">"0034855"</f>
        <v>0034855</v>
      </c>
      <c r="D1572" s="37" t="s">
        <v>164</v>
      </c>
      <c r="E1572" s="35" t="n">
        <v>2006</v>
      </c>
      <c r="F1572" s="38" t="n">
        <v>941.68</v>
      </c>
      <c r="G1572" s="39" t="n">
        <v>1</v>
      </c>
      <c r="H1572" s="40" t="n">
        <v>60</v>
      </c>
    </row>
    <row r="1573" s="33" customFormat="true" ht="14.25" hidden="false" customHeight="false" outlineLevel="0" collapsed="false">
      <c r="A1573" s="34" t="n">
        <f aca="false">A1572+1</f>
        <v>1568</v>
      </c>
      <c r="B1573" s="35" t="s">
        <v>1214</v>
      </c>
      <c r="C1573" s="35" t="str">
        <f aca="false">"0034894"</f>
        <v>0034894</v>
      </c>
      <c r="D1573" s="37" t="s">
        <v>1292</v>
      </c>
      <c r="E1573" s="35" t="n">
        <v>2006</v>
      </c>
      <c r="F1573" s="38" t="n">
        <v>21982</v>
      </c>
      <c r="G1573" s="39" t="n">
        <v>1</v>
      </c>
      <c r="H1573" s="40" t="n">
        <v>2250</v>
      </c>
    </row>
    <row r="1574" s="33" customFormat="true" ht="14.25" hidden="false" customHeight="false" outlineLevel="0" collapsed="false">
      <c r="A1574" s="34" t="n">
        <f aca="false">A1573+1</f>
        <v>1569</v>
      </c>
      <c r="B1574" s="35" t="s">
        <v>1214</v>
      </c>
      <c r="C1574" s="35" t="str">
        <f aca="false">"0035375"</f>
        <v>0035375</v>
      </c>
      <c r="D1574" s="37" t="s">
        <v>1293</v>
      </c>
      <c r="E1574" s="35" t="n">
        <v>2007</v>
      </c>
      <c r="F1574" s="38" t="n">
        <v>18432</v>
      </c>
      <c r="G1574" s="39" t="n">
        <v>12</v>
      </c>
      <c r="H1574" s="40" t="n">
        <v>20520</v>
      </c>
    </row>
    <row r="1575" s="33" customFormat="true" ht="14.25" hidden="false" customHeight="false" outlineLevel="0" collapsed="false">
      <c r="A1575" s="34" t="n">
        <f aca="false">A1574+1</f>
        <v>1570</v>
      </c>
      <c r="B1575" s="35" t="s">
        <v>1214</v>
      </c>
      <c r="C1575" s="35" t="str">
        <f aca="false">"0035522"</f>
        <v>0035522</v>
      </c>
      <c r="D1575" s="37" t="s">
        <v>1294</v>
      </c>
      <c r="E1575" s="35" t="n">
        <v>2007</v>
      </c>
      <c r="F1575" s="38" t="n">
        <v>5785</v>
      </c>
      <c r="G1575" s="39" t="n">
        <v>12</v>
      </c>
      <c r="H1575" s="40" t="n">
        <v>6480</v>
      </c>
    </row>
    <row r="1576" s="33" customFormat="true" ht="14.25" hidden="false" customHeight="false" outlineLevel="0" collapsed="false">
      <c r="A1576" s="34" t="n">
        <f aca="false">A1575+1</f>
        <v>1571</v>
      </c>
      <c r="B1576" s="35" t="s">
        <v>1214</v>
      </c>
      <c r="C1576" s="35" t="str">
        <f aca="false">"0035644"</f>
        <v>0035644</v>
      </c>
      <c r="D1576" s="37" t="s">
        <v>1295</v>
      </c>
      <c r="E1576" s="35" t="n">
        <v>2007</v>
      </c>
      <c r="F1576" s="38" t="n">
        <v>168666</v>
      </c>
      <c r="G1576" s="39" t="n">
        <v>1</v>
      </c>
      <c r="H1576" s="40" t="n">
        <v>15650</v>
      </c>
    </row>
    <row r="1577" s="33" customFormat="true" ht="14.25" hidden="false" customHeight="false" outlineLevel="0" collapsed="false">
      <c r="A1577" s="34" t="n">
        <f aca="false">A1576+1</f>
        <v>1572</v>
      </c>
      <c r="B1577" s="35" t="s">
        <v>1214</v>
      </c>
      <c r="C1577" s="35" t="str">
        <f aca="false">"0035903"</f>
        <v>0035903</v>
      </c>
      <c r="D1577" s="37" t="s">
        <v>1296</v>
      </c>
      <c r="E1577" s="35" t="n">
        <v>2007</v>
      </c>
      <c r="F1577" s="38" t="n">
        <v>13675.2</v>
      </c>
      <c r="G1577" s="39" t="n">
        <v>1</v>
      </c>
      <c r="H1577" s="40" t="n">
        <v>1300</v>
      </c>
    </row>
    <row r="1578" s="33" customFormat="true" ht="14.25" hidden="false" customHeight="false" outlineLevel="0" collapsed="false">
      <c r="A1578" s="34" t="n">
        <f aca="false">A1577+1</f>
        <v>1573</v>
      </c>
      <c r="B1578" s="35" t="s">
        <v>1214</v>
      </c>
      <c r="C1578" s="35" t="str">
        <f aca="false">"0036840"</f>
        <v>0036840</v>
      </c>
      <c r="D1578" s="37" t="s">
        <v>1297</v>
      </c>
      <c r="E1578" s="35" t="n">
        <v>2007</v>
      </c>
      <c r="F1578" s="38" t="n">
        <v>1361940.94</v>
      </c>
      <c r="G1578" s="39" t="n">
        <v>1</v>
      </c>
      <c r="H1578" s="40" t="n">
        <v>152550</v>
      </c>
    </row>
    <row r="1579" s="33" customFormat="true" ht="14.25" hidden="false" customHeight="false" outlineLevel="0" collapsed="false">
      <c r="A1579" s="34" t="n">
        <f aca="false">A1578+1</f>
        <v>1574</v>
      </c>
      <c r="B1579" s="35" t="s">
        <v>1214</v>
      </c>
      <c r="C1579" s="35" t="str">
        <f aca="false">"0037574"</f>
        <v>0037574</v>
      </c>
      <c r="D1579" s="37" t="s">
        <v>1293</v>
      </c>
      <c r="E1579" s="35" t="n">
        <v>2008</v>
      </c>
      <c r="F1579" s="38" t="n">
        <v>18432</v>
      </c>
      <c r="G1579" s="39" t="n">
        <v>12</v>
      </c>
      <c r="H1579" s="40" t="n">
        <v>22800</v>
      </c>
    </row>
    <row r="1580" s="33" customFormat="true" ht="14.25" hidden="false" customHeight="false" outlineLevel="0" collapsed="false">
      <c r="A1580" s="34" t="n">
        <f aca="false">A1579+1</f>
        <v>1575</v>
      </c>
      <c r="B1580" s="35" t="s">
        <v>1214</v>
      </c>
      <c r="C1580" s="35" t="str">
        <f aca="false">"0037586"</f>
        <v>0037586</v>
      </c>
      <c r="D1580" s="37" t="s">
        <v>1298</v>
      </c>
      <c r="E1580" s="35" t="n">
        <v>2008</v>
      </c>
      <c r="F1580" s="38" t="n">
        <v>6484</v>
      </c>
      <c r="G1580" s="39" t="n">
        <v>12</v>
      </c>
      <c r="H1580" s="40" t="n">
        <v>7920</v>
      </c>
    </row>
    <row r="1581" s="33" customFormat="true" ht="14.25" hidden="false" customHeight="false" outlineLevel="0" collapsed="false">
      <c r="A1581" s="34" t="n">
        <f aca="false">A1580+1</f>
        <v>1576</v>
      </c>
      <c r="B1581" s="35" t="s">
        <v>1214</v>
      </c>
      <c r="C1581" s="35" t="str">
        <f aca="false">"0037823"</f>
        <v>0037823</v>
      </c>
      <c r="D1581" s="37" t="s">
        <v>1299</v>
      </c>
      <c r="E1581" s="35" t="n">
        <v>2008</v>
      </c>
      <c r="F1581" s="38" t="n">
        <v>880</v>
      </c>
      <c r="G1581" s="39" t="n">
        <v>1</v>
      </c>
      <c r="H1581" s="40" t="n">
        <v>60</v>
      </c>
    </row>
    <row r="1582" s="33" customFormat="true" ht="14.25" hidden="false" customHeight="false" outlineLevel="0" collapsed="false">
      <c r="A1582" s="34" t="n">
        <f aca="false">A1581+1</f>
        <v>1577</v>
      </c>
      <c r="B1582" s="35" t="s">
        <v>1214</v>
      </c>
      <c r="C1582" s="35" t="str">
        <f aca="false">"0038060"</f>
        <v>0038060</v>
      </c>
      <c r="D1582" s="37" t="s">
        <v>1293</v>
      </c>
      <c r="E1582" s="35" t="n">
        <v>2008</v>
      </c>
      <c r="F1582" s="38" t="n">
        <v>12465</v>
      </c>
      <c r="G1582" s="39" t="n">
        <v>10</v>
      </c>
      <c r="H1582" s="40" t="n">
        <v>12800</v>
      </c>
    </row>
    <row r="1583" s="33" customFormat="true" ht="14.25" hidden="false" customHeight="false" outlineLevel="0" collapsed="false">
      <c r="A1583" s="34" t="n">
        <f aca="false">A1582+1</f>
        <v>1578</v>
      </c>
      <c r="B1583" s="35" t="s">
        <v>1214</v>
      </c>
      <c r="C1583" s="35" t="str">
        <f aca="false">"0038070"</f>
        <v>0038070</v>
      </c>
      <c r="D1583" s="37" t="s">
        <v>1298</v>
      </c>
      <c r="E1583" s="35" t="n">
        <v>2008</v>
      </c>
      <c r="F1583" s="38" t="n">
        <v>6484</v>
      </c>
      <c r="G1583" s="39" t="n">
        <v>10</v>
      </c>
      <c r="H1583" s="40" t="n">
        <v>4100</v>
      </c>
    </row>
    <row r="1584" s="33" customFormat="true" ht="14.25" hidden="false" customHeight="false" outlineLevel="0" collapsed="false">
      <c r="A1584" s="34" t="n">
        <f aca="false">A1583+1</f>
        <v>1579</v>
      </c>
      <c r="B1584" s="35" t="s">
        <v>1214</v>
      </c>
      <c r="C1584" s="35" t="str">
        <f aca="false">"0038467"</f>
        <v>0038467</v>
      </c>
      <c r="D1584" s="37" t="s">
        <v>1300</v>
      </c>
      <c r="E1584" s="35" t="n">
        <v>2008</v>
      </c>
      <c r="F1584" s="38" t="n">
        <v>330</v>
      </c>
      <c r="G1584" s="39" t="n">
        <v>2</v>
      </c>
      <c r="H1584" s="40" t="n">
        <v>40</v>
      </c>
    </row>
    <row r="1585" s="33" customFormat="true" ht="14.25" hidden="false" customHeight="false" outlineLevel="0" collapsed="false">
      <c r="A1585" s="34" t="n">
        <f aca="false">A1584+1</f>
        <v>1580</v>
      </c>
      <c r="B1585" s="35" t="s">
        <v>1214</v>
      </c>
      <c r="C1585" s="35" t="str">
        <f aca="false">"0039093"</f>
        <v>0039093</v>
      </c>
      <c r="D1585" s="37" t="s">
        <v>1301</v>
      </c>
      <c r="E1585" s="35" t="n">
        <v>2008</v>
      </c>
      <c r="F1585" s="38" t="n">
        <v>11500</v>
      </c>
      <c r="G1585" s="39" t="n">
        <v>1</v>
      </c>
      <c r="H1585" s="40" t="n">
        <v>1180</v>
      </c>
    </row>
    <row r="1586" s="33" customFormat="true" ht="14.25" hidden="false" customHeight="false" outlineLevel="0" collapsed="false">
      <c r="A1586" s="34" t="n">
        <f aca="false">A1585+1</f>
        <v>1581</v>
      </c>
      <c r="B1586" s="35" t="s">
        <v>1214</v>
      </c>
      <c r="C1586" s="35" t="str">
        <f aca="false">"0040091"</f>
        <v>0040091</v>
      </c>
      <c r="D1586" s="37" t="s">
        <v>1302</v>
      </c>
      <c r="E1586" s="35" t="n">
        <v>2009</v>
      </c>
      <c r="F1586" s="38" t="n">
        <v>33013</v>
      </c>
      <c r="G1586" s="39" t="n">
        <v>2</v>
      </c>
      <c r="H1586" s="40" t="n">
        <v>7400</v>
      </c>
    </row>
    <row r="1587" s="33" customFormat="true" ht="14.25" hidden="false" customHeight="false" outlineLevel="0" collapsed="false">
      <c r="A1587" s="34" t="n">
        <f aca="false">A1586+1</f>
        <v>1582</v>
      </c>
      <c r="B1587" s="35" t="s">
        <v>1214</v>
      </c>
      <c r="C1587" s="35" t="str">
        <f aca="false">"0040093"</f>
        <v>0040093</v>
      </c>
      <c r="D1587" s="37" t="s">
        <v>1303</v>
      </c>
      <c r="E1587" s="35" t="n">
        <v>2009</v>
      </c>
      <c r="F1587" s="38" t="n">
        <v>10141</v>
      </c>
      <c r="G1587" s="39" t="n">
        <v>1</v>
      </c>
      <c r="H1587" s="40" t="n">
        <v>1140</v>
      </c>
    </row>
    <row r="1588" s="33" customFormat="true" ht="14.25" hidden="false" customHeight="false" outlineLevel="0" collapsed="false">
      <c r="A1588" s="34" t="n">
        <f aca="false">A1587+1</f>
        <v>1583</v>
      </c>
      <c r="B1588" s="35" t="s">
        <v>1214</v>
      </c>
      <c r="C1588" s="35" t="str">
        <f aca="false">"0040094"</f>
        <v>0040094</v>
      </c>
      <c r="D1588" s="37" t="s">
        <v>1301</v>
      </c>
      <c r="E1588" s="35" t="n">
        <v>2009</v>
      </c>
      <c r="F1588" s="38" t="n">
        <v>11396</v>
      </c>
      <c r="G1588" s="39" t="n">
        <v>1</v>
      </c>
      <c r="H1588" s="40" t="n">
        <v>1300</v>
      </c>
    </row>
    <row r="1589" s="33" customFormat="true" ht="14.25" hidden="false" customHeight="false" outlineLevel="0" collapsed="false">
      <c r="A1589" s="34" t="n">
        <f aca="false">A1588+1</f>
        <v>1584</v>
      </c>
      <c r="B1589" s="35" t="s">
        <v>1214</v>
      </c>
      <c r="C1589" s="35" t="str">
        <f aca="false">"0040697"</f>
        <v>0040697</v>
      </c>
      <c r="D1589" s="37" t="s">
        <v>1304</v>
      </c>
      <c r="E1589" s="35" t="n">
        <v>2010</v>
      </c>
      <c r="F1589" s="38" t="n">
        <v>1250.7</v>
      </c>
      <c r="G1589" s="39" t="n">
        <v>1</v>
      </c>
      <c r="H1589" s="40" t="n">
        <v>130</v>
      </c>
    </row>
    <row r="1590" s="33" customFormat="true" ht="14.25" hidden="false" customHeight="false" outlineLevel="0" collapsed="false">
      <c r="A1590" s="42" t="n">
        <f aca="false">A1589+1</f>
        <v>1585</v>
      </c>
      <c r="B1590" s="35" t="s">
        <v>1214</v>
      </c>
      <c r="C1590" s="35" t="str">
        <f aca="false">"0040870"</f>
        <v>0040870</v>
      </c>
      <c r="D1590" s="37" t="s">
        <v>1305</v>
      </c>
      <c r="E1590" s="35" t="n">
        <v>2010</v>
      </c>
      <c r="F1590" s="38" t="n">
        <v>1205891.97</v>
      </c>
      <c r="G1590" s="39" t="n">
        <v>1</v>
      </c>
      <c r="H1590" s="40" t="n">
        <v>195850</v>
      </c>
    </row>
    <row r="1591" s="33" customFormat="true" ht="14.25" hidden="false" customHeight="false" outlineLevel="0" collapsed="false">
      <c r="A1591" s="34" t="n">
        <f aca="false">A1590+1</f>
        <v>1586</v>
      </c>
      <c r="B1591" s="35" t="s">
        <v>1214</v>
      </c>
      <c r="C1591" s="35" t="str">
        <f aca="false">"0041732"</f>
        <v>0041732</v>
      </c>
      <c r="D1591" s="37" t="s">
        <v>1306</v>
      </c>
      <c r="E1591" s="35" t="n">
        <v>2011</v>
      </c>
      <c r="F1591" s="38" t="n">
        <v>79300</v>
      </c>
      <c r="G1591" s="39" t="n">
        <v>1</v>
      </c>
      <c r="H1591" s="40" t="n">
        <v>15500</v>
      </c>
    </row>
    <row r="1592" s="33" customFormat="true" ht="14.25" hidden="false" customHeight="false" outlineLevel="0" collapsed="false">
      <c r="A1592" s="34" t="n">
        <f aca="false">A1591+1</f>
        <v>1587</v>
      </c>
      <c r="B1592" s="35" t="s">
        <v>1214</v>
      </c>
      <c r="C1592" s="35" t="str">
        <f aca="false">"0041733"</f>
        <v>0041733</v>
      </c>
      <c r="D1592" s="37" t="s">
        <v>1306</v>
      </c>
      <c r="E1592" s="35" t="n">
        <v>2011</v>
      </c>
      <c r="F1592" s="38" t="n">
        <v>36800</v>
      </c>
      <c r="G1592" s="39" t="n">
        <v>3</v>
      </c>
      <c r="H1592" s="40" t="n">
        <v>21600</v>
      </c>
    </row>
    <row r="1593" s="33" customFormat="true" ht="14.25" hidden="false" customHeight="false" outlineLevel="0" collapsed="false">
      <c r="A1593" s="34" t="n">
        <f aca="false">A1592+1</f>
        <v>1588</v>
      </c>
      <c r="B1593" s="35" t="s">
        <v>1214</v>
      </c>
      <c r="C1593" s="35" t="str">
        <f aca="false">"0042971"</f>
        <v>0042971</v>
      </c>
      <c r="D1593" s="37" t="s">
        <v>1307</v>
      </c>
      <c r="E1593" s="35" t="n">
        <v>2013</v>
      </c>
      <c r="F1593" s="38" t="n">
        <v>33300</v>
      </c>
      <c r="G1593" s="39" t="n">
        <v>1</v>
      </c>
      <c r="H1593" s="40" t="n">
        <v>9500</v>
      </c>
    </row>
    <row r="1594" s="33" customFormat="true" ht="14.25" hidden="false" customHeight="false" outlineLevel="0" collapsed="false">
      <c r="A1594" s="34" t="n">
        <f aca="false">A1593+1</f>
        <v>1589</v>
      </c>
      <c r="B1594" s="35" t="s">
        <v>1214</v>
      </c>
      <c r="C1594" s="35" t="str">
        <f aca="false">"0042989"</f>
        <v>0042989</v>
      </c>
      <c r="D1594" s="37" t="s">
        <v>1308</v>
      </c>
      <c r="E1594" s="35" t="n">
        <v>2013</v>
      </c>
      <c r="F1594" s="38" t="n">
        <v>23980</v>
      </c>
      <c r="G1594" s="39" t="n">
        <v>2</v>
      </c>
      <c r="H1594" s="40" t="n">
        <v>13660</v>
      </c>
    </row>
    <row r="1595" s="33" customFormat="true" ht="14.25" hidden="false" customHeight="false" outlineLevel="0" collapsed="false">
      <c r="A1595" s="34" t="n">
        <f aca="false">A1594+1</f>
        <v>1590</v>
      </c>
      <c r="B1595" s="35" t="s">
        <v>1214</v>
      </c>
      <c r="C1595" s="35" t="str">
        <f aca="false">"0043880"</f>
        <v>0043880</v>
      </c>
      <c r="D1595" s="37" t="s">
        <v>1309</v>
      </c>
      <c r="E1595" s="35" t="n">
        <v>2014</v>
      </c>
      <c r="F1595" s="38" t="n">
        <v>629204.26</v>
      </c>
      <c r="G1595" s="39" t="n">
        <v>1</v>
      </c>
      <c r="H1595" s="40" t="n">
        <v>255200</v>
      </c>
    </row>
    <row r="1596" s="33" customFormat="true" ht="14.25" hidden="false" customHeight="false" outlineLevel="0" collapsed="false">
      <c r="A1596" s="34" t="n">
        <f aca="false">A1595+1</f>
        <v>1591</v>
      </c>
      <c r="B1596" s="35" t="s">
        <v>1214</v>
      </c>
      <c r="C1596" s="35" t="str">
        <f aca="false">"0044098"</f>
        <v>0044098</v>
      </c>
      <c r="D1596" s="37" t="s">
        <v>1310</v>
      </c>
      <c r="E1596" s="35" t="n">
        <v>2014</v>
      </c>
      <c r="F1596" s="38" t="n">
        <v>3846.78</v>
      </c>
      <c r="G1596" s="39" t="n">
        <v>1</v>
      </c>
      <c r="H1596" s="40" t="n">
        <v>1100</v>
      </c>
    </row>
    <row r="1597" s="33" customFormat="true" ht="14.25" hidden="false" customHeight="false" outlineLevel="0" collapsed="false">
      <c r="A1597" s="34" t="n">
        <f aca="false">A1596+1</f>
        <v>1592</v>
      </c>
      <c r="B1597" s="35" t="s">
        <v>1214</v>
      </c>
      <c r="C1597" s="35" t="str">
        <f aca="false">"0044133"</f>
        <v>0044133</v>
      </c>
      <c r="D1597" s="37" t="s">
        <v>1311</v>
      </c>
      <c r="E1597" s="35" t="n">
        <v>2014</v>
      </c>
      <c r="F1597" s="38" t="n">
        <v>2211.25</v>
      </c>
      <c r="G1597" s="39" t="n">
        <v>1</v>
      </c>
      <c r="H1597" s="40" t="n">
        <v>250</v>
      </c>
    </row>
    <row r="1598" s="33" customFormat="true" ht="14.25" hidden="false" customHeight="false" outlineLevel="0" collapsed="false">
      <c r="A1598" s="34" t="n">
        <f aca="false">A1597+1</f>
        <v>1593</v>
      </c>
      <c r="B1598" s="35" t="s">
        <v>1214</v>
      </c>
      <c r="C1598" s="35" t="str">
        <f aca="false">"0044334"</f>
        <v>0044334</v>
      </c>
      <c r="D1598" s="37" t="s">
        <v>1312</v>
      </c>
      <c r="E1598" s="35" t="n">
        <v>2014</v>
      </c>
      <c r="F1598" s="38" t="n">
        <v>14385.42</v>
      </c>
      <c r="G1598" s="39" t="n">
        <v>4</v>
      </c>
      <c r="H1598" s="40" t="n">
        <v>19720</v>
      </c>
    </row>
    <row r="1599" s="33" customFormat="true" ht="14.25" hidden="false" customHeight="false" outlineLevel="0" collapsed="false">
      <c r="A1599" s="34" t="n">
        <f aca="false">A1598+1</f>
        <v>1594</v>
      </c>
      <c r="B1599" s="35" t="s">
        <v>1214</v>
      </c>
      <c r="C1599" s="35" t="str">
        <f aca="false">"0044338"</f>
        <v>0044338</v>
      </c>
      <c r="D1599" s="37" t="s">
        <v>1313</v>
      </c>
      <c r="E1599" s="35" t="n">
        <v>2014</v>
      </c>
      <c r="F1599" s="38" t="n">
        <v>14296.77</v>
      </c>
      <c r="G1599" s="39" t="n">
        <v>3</v>
      </c>
      <c r="H1599" s="40" t="n">
        <v>14700</v>
      </c>
    </row>
    <row r="1600" s="33" customFormat="true" ht="14.25" hidden="false" customHeight="false" outlineLevel="0" collapsed="false">
      <c r="A1600" s="34" t="n">
        <f aca="false">A1599+1</f>
        <v>1595</v>
      </c>
      <c r="B1600" s="35" t="s">
        <v>1214</v>
      </c>
      <c r="C1600" s="35" t="str">
        <f aca="false">"0044341"</f>
        <v>0044341</v>
      </c>
      <c r="D1600" s="37" t="s">
        <v>1314</v>
      </c>
      <c r="E1600" s="35" t="n">
        <v>2014</v>
      </c>
      <c r="F1600" s="38" t="n">
        <v>14473.24</v>
      </c>
      <c r="G1600" s="39" t="n">
        <v>1</v>
      </c>
      <c r="H1600" s="40" t="n">
        <v>4950</v>
      </c>
    </row>
    <row r="1601" s="33" customFormat="true" ht="14.25" hidden="false" customHeight="false" outlineLevel="0" collapsed="false">
      <c r="A1601" s="34" t="n">
        <f aca="false">A1600+1</f>
        <v>1596</v>
      </c>
      <c r="B1601" s="35" t="s">
        <v>1214</v>
      </c>
      <c r="C1601" s="35" t="str">
        <f aca="false">"0044342"</f>
        <v>0044342</v>
      </c>
      <c r="D1601" s="37" t="s">
        <v>1315</v>
      </c>
      <c r="E1601" s="35" t="n">
        <v>2014</v>
      </c>
      <c r="F1601" s="38" t="n">
        <v>14014.27</v>
      </c>
      <c r="G1601" s="39" t="n">
        <v>4</v>
      </c>
      <c r="H1601" s="40" t="n">
        <v>19200</v>
      </c>
    </row>
    <row r="1602" s="33" customFormat="true" ht="14.25" hidden="false" customHeight="false" outlineLevel="0" collapsed="false">
      <c r="A1602" s="34" t="n">
        <f aca="false">A1601+1</f>
        <v>1597</v>
      </c>
      <c r="B1602" s="35" t="s">
        <v>1214</v>
      </c>
      <c r="C1602" s="35" t="str">
        <f aca="false">"0044965"</f>
        <v>0044965</v>
      </c>
      <c r="D1602" s="37" t="s">
        <v>1316</v>
      </c>
      <c r="E1602" s="35" t="n">
        <v>2015</v>
      </c>
      <c r="F1602" s="38" t="n">
        <v>321983.39</v>
      </c>
      <c r="G1602" s="39" t="n">
        <v>1</v>
      </c>
      <c r="H1602" s="40" t="n">
        <v>131400</v>
      </c>
    </row>
    <row r="1603" s="33" customFormat="true" ht="14.25" hidden="false" customHeight="false" outlineLevel="0" collapsed="false">
      <c r="A1603" s="34" t="n">
        <f aca="false">A1602+1</f>
        <v>1598</v>
      </c>
      <c r="B1603" s="35" t="s">
        <v>1214</v>
      </c>
      <c r="C1603" s="35" t="str">
        <f aca="false">"0045722"</f>
        <v>0045722</v>
      </c>
      <c r="D1603" s="37" t="s">
        <v>1317</v>
      </c>
      <c r="E1603" s="35" t="n">
        <v>2016</v>
      </c>
      <c r="F1603" s="38" t="n">
        <v>20280</v>
      </c>
      <c r="G1603" s="39" t="n">
        <v>1</v>
      </c>
      <c r="H1603" s="44" t="s">
        <v>121</v>
      </c>
    </row>
    <row r="1604" s="33" customFormat="true" ht="14.25" hidden="false" customHeight="false" outlineLevel="0" collapsed="false">
      <c r="A1604" s="34" t="n">
        <f aca="false">A1603+1</f>
        <v>1599</v>
      </c>
      <c r="B1604" s="35" t="s">
        <v>1214</v>
      </c>
      <c r="C1604" s="35" t="str">
        <f aca="false">"0046892"</f>
        <v>0046892</v>
      </c>
      <c r="D1604" s="37" t="s">
        <v>1318</v>
      </c>
      <c r="E1604" s="35" t="n">
        <v>2016</v>
      </c>
      <c r="F1604" s="38" t="n">
        <v>18560</v>
      </c>
      <c r="G1604" s="39" t="n">
        <v>1</v>
      </c>
      <c r="H1604" s="40" t="n">
        <v>8060</v>
      </c>
    </row>
    <row r="1605" s="33" customFormat="true" ht="14.25" hidden="false" customHeight="false" outlineLevel="0" collapsed="false">
      <c r="A1605" s="34" t="n">
        <f aca="false">A1604+1</f>
        <v>1600</v>
      </c>
      <c r="B1605" s="35" t="s">
        <v>1214</v>
      </c>
      <c r="C1605" s="35" t="str">
        <f aca="false">"0046898"</f>
        <v>0046898</v>
      </c>
      <c r="D1605" s="37" t="s">
        <v>1319</v>
      </c>
      <c r="E1605" s="35" t="n">
        <v>2016</v>
      </c>
      <c r="F1605" s="38" t="n">
        <v>5480</v>
      </c>
      <c r="G1605" s="39" t="n">
        <v>1</v>
      </c>
      <c r="H1605" s="40" t="n">
        <v>2380</v>
      </c>
    </row>
    <row r="1606" s="33" customFormat="true" ht="14.25" hidden="false" customHeight="false" outlineLevel="0" collapsed="false">
      <c r="A1606" s="34" t="n">
        <f aca="false">A1605+1</f>
        <v>1601</v>
      </c>
      <c r="B1606" s="35" t="s">
        <v>1214</v>
      </c>
      <c r="C1606" s="35" t="str">
        <f aca="false">"0046904"</f>
        <v>0046904</v>
      </c>
      <c r="D1606" s="37" t="s">
        <v>1320</v>
      </c>
      <c r="E1606" s="35" t="n">
        <v>2016</v>
      </c>
      <c r="F1606" s="38" t="n">
        <v>2625</v>
      </c>
      <c r="G1606" s="39" t="n">
        <v>1</v>
      </c>
      <c r="H1606" s="40" t="n">
        <v>1140</v>
      </c>
    </row>
    <row r="1607" s="33" customFormat="true" ht="14.25" hidden="false" customHeight="false" outlineLevel="0" collapsed="false">
      <c r="A1607" s="34" t="n">
        <f aca="false">A1606+1</f>
        <v>1602</v>
      </c>
      <c r="B1607" s="35" t="s">
        <v>1214</v>
      </c>
      <c r="C1607" s="35" t="str">
        <f aca="false">"0049335"</f>
        <v>0049335</v>
      </c>
      <c r="D1607" s="37" t="s">
        <v>1318</v>
      </c>
      <c r="E1607" s="35" t="n">
        <v>2017</v>
      </c>
      <c r="F1607" s="38" t="n">
        <v>18560</v>
      </c>
      <c r="G1607" s="39" t="n">
        <v>5</v>
      </c>
      <c r="H1607" s="40" t="n">
        <v>49000</v>
      </c>
    </row>
    <row r="1608" s="33" customFormat="true" ht="14.25" hidden="false" customHeight="false" outlineLevel="0" collapsed="false">
      <c r="A1608" s="34" t="n">
        <f aca="false">A1607+1</f>
        <v>1603</v>
      </c>
      <c r="B1608" s="35" t="s">
        <v>1214</v>
      </c>
      <c r="C1608" s="35" t="str">
        <f aca="false">"0049340"</f>
        <v>0049340</v>
      </c>
      <c r="D1608" s="37" t="s">
        <v>1321</v>
      </c>
      <c r="E1608" s="35" t="n">
        <v>2017</v>
      </c>
      <c r="F1608" s="38" t="n">
        <v>5480</v>
      </c>
      <c r="G1608" s="39" t="n">
        <v>5</v>
      </c>
      <c r="H1608" s="40" t="n">
        <v>14500</v>
      </c>
    </row>
    <row r="1609" s="33" customFormat="true" ht="14.25" hidden="false" customHeight="false" outlineLevel="0" collapsed="false">
      <c r="A1609" s="34" t="n">
        <f aca="false">A1608+1</f>
        <v>1604</v>
      </c>
      <c r="B1609" s="35" t="s">
        <v>1214</v>
      </c>
      <c r="C1609" s="35" t="str">
        <f aca="false">"0049345"</f>
        <v>0049345</v>
      </c>
      <c r="D1609" s="37" t="s">
        <v>1320</v>
      </c>
      <c r="E1609" s="35" t="n">
        <v>2017</v>
      </c>
      <c r="F1609" s="38" t="n">
        <v>2625</v>
      </c>
      <c r="G1609" s="39" t="n">
        <v>5</v>
      </c>
      <c r="H1609" s="40" t="n">
        <v>7000</v>
      </c>
    </row>
    <row r="1610" s="33" customFormat="true" ht="14.25" hidden="false" customHeight="false" outlineLevel="0" collapsed="false">
      <c r="A1610" s="34" t="n">
        <f aca="false">A1609+1</f>
        <v>1605</v>
      </c>
      <c r="B1610" s="35" t="s">
        <v>1214</v>
      </c>
      <c r="C1610" s="35" t="str">
        <f aca="false">"0049557"</f>
        <v>0049557</v>
      </c>
      <c r="D1610" s="37" t="s">
        <v>1322</v>
      </c>
      <c r="E1610" s="35" t="n">
        <v>2017</v>
      </c>
      <c r="F1610" s="38" t="n">
        <v>4370.49</v>
      </c>
      <c r="G1610" s="39" t="n">
        <v>1</v>
      </c>
      <c r="H1610" s="40" t="n">
        <v>2310</v>
      </c>
    </row>
    <row r="1611" s="33" customFormat="true" ht="14.25" hidden="false" customHeight="false" outlineLevel="0" collapsed="false">
      <c r="A1611" s="34" t="n">
        <f aca="false">A1610+1</f>
        <v>1606</v>
      </c>
      <c r="B1611" s="35" t="s">
        <v>1214</v>
      </c>
      <c r="C1611" s="35" t="str">
        <f aca="false">"0049820"</f>
        <v>0049820</v>
      </c>
      <c r="D1611" s="37" t="s">
        <v>181</v>
      </c>
      <c r="E1611" s="35" t="n">
        <v>2018</v>
      </c>
      <c r="F1611" s="38" t="n">
        <v>821.44</v>
      </c>
      <c r="G1611" s="39" t="n">
        <v>1</v>
      </c>
      <c r="H1611" s="40" t="n">
        <v>500</v>
      </c>
    </row>
    <row r="1612" s="33" customFormat="true" ht="14.25" hidden="false" customHeight="false" outlineLevel="0" collapsed="false">
      <c r="A1612" s="34" t="n">
        <f aca="false">A1611+1</f>
        <v>1607</v>
      </c>
      <c r="B1612" s="35" t="s">
        <v>1323</v>
      </c>
      <c r="C1612" s="35" t="str">
        <f aca="false">"0000235"</f>
        <v>0000235</v>
      </c>
      <c r="D1612" s="37" t="s">
        <v>1324</v>
      </c>
      <c r="E1612" s="35" t="n">
        <v>1947</v>
      </c>
      <c r="F1612" s="38" t="n">
        <f aca="false">977029.75*1.4</f>
        <v>1367841.65</v>
      </c>
      <c r="G1612" s="39" t="n">
        <v>1</v>
      </c>
      <c r="H1612" s="40" t="n">
        <v>19260</v>
      </c>
    </row>
    <row r="1613" s="33" customFormat="true" ht="14.25" hidden="false" customHeight="false" outlineLevel="0" collapsed="false">
      <c r="A1613" s="34" t="n">
        <f aca="false">A1612+1</f>
        <v>1608</v>
      </c>
      <c r="B1613" s="35" t="s">
        <v>1323</v>
      </c>
      <c r="C1613" s="35" t="str">
        <f aca="false">"0000670"</f>
        <v>0000670</v>
      </c>
      <c r="D1613" s="37" t="s">
        <v>1325</v>
      </c>
      <c r="E1613" s="35" t="n">
        <v>1987</v>
      </c>
      <c r="F1613" s="38" t="n">
        <f aca="false">48851.49*1.2</f>
        <v>58621.788</v>
      </c>
      <c r="G1613" s="39" t="n">
        <v>1</v>
      </c>
      <c r="H1613" s="40" t="n">
        <v>2910</v>
      </c>
    </row>
    <row r="1614" s="33" customFormat="true" ht="14.25" hidden="false" customHeight="false" outlineLevel="0" collapsed="false">
      <c r="A1614" s="34" t="n">
        <f aca="false">A1613+1</f>
        <v>1609</v>
      </c>
      <c r="B1614" s="35" t="s">
        <v>1323</v>
      </c>
      <c r="C1614" s="35" t="str">
        <f aca="false">"0002922"</f>
        <v>0002922</v>
      </c>
      <c r="D1614" s="37" t="s">
        <v>1326</v>
      </c>
      <c r="E1614" s="35" t="n">
        <v>1987</v>
      </c>
      <c r="F1614" s="38" t="n">
        <f aca="false">1000*7.5</f>
        <v>7500</v>
      </c>
      <c r="G1614" s="39" t="n">
        <v>1</v>
      </c>
      <c r="H1614" s="40" t="n">
        <v>400</v>
      </c>
    </row>
    <row r="1615" s="33" customFormat="true" ht="14.25" hidden="false" customHeight="false" outlineLevel="0" collapsed="false">
      <c r="A1615" s="34" t="n">
        <f aca="false">A1614+1</f>
        <v>1610</v>
      </c>
      <c r="B1615" s="35" t="s">
        <v>1323</v>
      </c>
      <c r="C1615" s="35" t="str">
        <f aca="false">"0004005"</f>
        <v>0004005</v>
      </c>
      <c r="D1615" s="37" t="s">
        <v>1327</v>
      </c>
      <c r="E1615" s="35" t="n">
        <v>1977</v>
      </c>
      <c r="F1615" s="38" t="n">
        <f aca="false">9771.42*1.2</f>
        <v>11725.704</v>
      </c>
      <c r="G1615" s="39" t="n">
        <v>2</v>
      </c>
      <c r="H1615" s="40" t="n">
        <v>860</v>
      </c>
    </row>
    <row r="1616" s="33" customFormat="true" ht="14.25" hidden="false" customHeight="false" outlineLevel="0" collapsed="false">
      <c r="A1616" s="34" t="n">
        <f aca="false">A1615+1</f>
        <v>1611</v>
      </c>
      <c r="B1616" s="35" t="s">
        <v>1323</v>
      </c>
      <c r="C1616" s="35" t="str">
        <f aca="false">"0004007"</f>
        <v>0004007</v>
      </c>
      <c r="D1616" s="37" t="s">
        <v>1328</v>
      </c>
      <c r="E1616" s="35" t="n">
        <v>1977</v>
      </c>
      <c r="F1616" s="38" t="n">
        <f aca="false">4885.71*1.2</f>
        <v>5862.852</v>
      </c>
      <c r="G1616" s="39" t="n">
        <v>8</v>
      </c>
      <c r="H1616" s="44" t="s">
        <v>121</v>
      </c>
    </row>
    <row r="1617" s="33" customFormat="true" ht="14.25" hidden="false" customHeight="false" outlineLevel="0" collapsed="false">
      <c r="A1617" s="34" t="n">
        <f aca="false">A1616+1</f>
        <v>1612</v>
      </c>
      <c r="B1617" s="35" t="s">
        <v>1323</v>
      </c>
      <c r="C1617" s="35" t="str">
        <f aca="false">"0004384"</f>
        <v>0004384</v>
      </c>
      <c r="D1617" s="37" t="s">
        <v>1329</v>
      </c>
      <c r="E1617" s="35" t="n">
        <v>1978</v>
      </c>
      <c r="F1617" s="38" t="n">
        <f aca="false">4885.71*1.2</f>
        <v>5862.852</v>
      </c>
      <c r="G1617" s="39" t="n">
        <v>2</v>
      </c>
      <c r="H1617" s="44" t="s">
        <v>121</v>
      </c>
    </row>
    <row r="1618" s="33" customFormat="true" ht="14.25" hidden="false" customHeight="false" outlineLevel="0" collapsed="false">
      <c r="A1618" s="34" t="n">
        <f aca="false">A1617+1</f>
        <v>1613</v>
      </c>
      <c r="B1618" s="35" t="s">
        <v>1323</v>
      </c>
      <c r="C1618" s="35" t="str">
        <f aca="false">"0004958"</f>
        <v>0004958</v>
      </c>
      <c r="D1618" s="37" t="s">
        <v>114</v>
      </c>
      <c r="E1618" s="35" t="n">
        <v>1978</v>
      </c>
      <c r="F1618" s="38" t="n">
        <v>33.77</v>
      </c>
      <c r="G1618" s="39" t="n">
        <v>1</v>
      </c>
      <c r="H1618" s="40" t="n">
        <v>5</v>
      </c>
    </row>
    <row r="1619" s="33" customFormat="true" ht="14.25" hidden="false" customHeight="false" outlineLevel="0" collapsed="false">
      <c r="A1619" s="34" t="n">
        <f aca="false">A1618+1</f>
        <v>1614</v>
      </c>
      <c r="B1619" s="35" t="s">
        <v>1323</v>
      </c>
      <c r="C1619" s="35" t="str">
        <f aca="false">"0005738"</f>
        <v>0005738</v>
      </c>
      <c r="D1619" s="37" t="s">
        <v>1330</v>
      </c>
      <c r="E1619" s="35" t="n">
        <v>1983</v>
      </c>
      <c r="F1619" s="38" t="n">
        <f aca="false">488514.87*1.2</f>
        <v>586217.844</v>
      </c>
      <c r="G1619" s="39" t="n">
        <v>1</v>
      </c>
      <c r="H1619" s="40" t="n">
        <v>26850</v>
      </c>
    </row>
    <row r="1620" s="33" customFormat="true" ht="14.25" hidden="false" customHeight="false" outlineLevel="0" collapsed="false">
      <c r="A1620" s="34" t="n">
        <f aca="false">A1619+1</f>
        <v>1615</v>
      </c>
      <c r="B1620" s="35" t="s">
        <v>1323</v>
      </c>
      <c r="C1620" s="35" t="str">
        <f aca="false">"0006505"</f>
        <v>0006505</v>
      </c>
      <c r="D1620" s="37" t="s">
        <v>1245</v>
      </c>
      <c r="E1620" s="35" t="n">
        <v>1985</v>
      </c>
      <c r="F1620" s="38" t="n">
        <f aca="false">7328.57*1.2</f>
        <v>8794.284</v>
      </c>
      <c r="G1620" s="39" t="n">
        <v>1</v>
      </c>
      <c r="H1620" s="40" t="n">
        <v>420</v>
      </c>
    </row>
    <row r="1621" s="33" customFormat="true" ht="14.25" hidden="false" customHeight="false" outlineLevel="0" collapsed="false">
      <c r="A1621" s="34" t="n">
        <f aca="false">A1620+1</f>
        <v>1616</v>
      </c>
      <c r="B1621" s="35" t="s">
        <v>1323</v>
      </c>
      <c r="C1621" s="35" t="str">
        <f aca="false">"0008101"</f>
        <v>0008101</v>
      </c>
      <c r="D1621" s="37" t="s">
        <v>1331</v>
      </c>
      <c r="E1621" s="35" t="n">
        <v>1990</v>
      </c>
      <c r="F1621" s="38" t="n">
        <f aca="false">341960.41*1.2</f>
        <v>410352.492</v>
      </c>
      <c r="G1621" s="39" t="n">
        <v>1</v>
      </c>
      <c r="H1621" s="40" t="n">
        <v>21550</v>
      </c>
    </row>
    <row r="1622" s="33" customFormat="true" ht="14.25" hidden="false" customHeight="false" outlineLevel="0" collapsed="false">
      <c r="A1622" s="34" t="n">
        <f aca="false">A1621+1</f>
        <v>1617</v>
      </c>
      <c r="B1622" s="35" t="s">
        <v>1323</v>
      </c>
      <c r="C1622" s="35" t="str">
        <f aca="false">"0008566"</f>
        <v>0008566</v>
      </c>
      <c r="D1622" s="37" t="s">
        <v>114</v>
      </c>
      <c r="E1622" s="35" t="n">
        <v>1987</v>
      </c>
      <c r="F1622" s="38" t="n">
        <v>33.77</v>
      </c>
      <c r="G1622" s="39" t="n">
        <v>1</v>
      </c>
      <c r="H1622" s="40" t="n">
        <v>5</v>
      </c>
    </row>
    <row r="1623" s="33" customFormat="true" ht="14.25" hidden="false" customHeight="false" outlineLevel="0" collapsed="false">
      <c r="A1623" s="34" t="n">
        <f aca="false">A1622+1</f>
        <v>1618</v>
      </c>
      <c r="B1623" s="35" t="s">
        <v>1323</v>
      </c>
      <c r="C1623" s="35" t="str">
        <f aca="false">"0008268"</f>
        <v>0008268</v>
      </c>
      <c r="D1623" s="37" t="s">
        <v>312</v>
      </c>
      <c r="E1623" s="35" t="n">
        <v>1987</v>
      </c>
      <c r="F1623" s="38" t="n">
        <v>45.03</v>
      </c>
      <c r="G1623" s="39" t="n">
        <v>6</v>
      </c>
      <c r="H1623" s="40" t="n">
        <v>30</v>
      </c>
    </row>
    <row r="1624" s="33" customFormat="true" ht="14.25" hidden="false" customHeight="false" outlineLevel="0" collapsed="false">
      <c r="A1624" s="34" t="n">
        <f aca="false">A1623+1</f>
        <v>1619</v>
      </c>
      <c r="B1624" s="35" t="s">
        <v>1323</v>
      </c>
      <c r="C1624" s="35" t="str">
        <f aca="false">"0009979"</f>
        <v>0009979</v>
      </c>
      <c r="D1624" s="37" t="s">
        <v>1332</v>
      </c>
      <c r="E1624" s="35" t="n">
        <v>1997</v>
      </c>
      <c r="F1624" s="38" t="n">
        <f aca="false">242965*1.1</f>
        <v>267261.5</v>
      </c>
      <c r="G1624" s="39" t="n">
        <v>1</v>
      </c>
      <c r="H1624" s="40" t="n">
        <v>15820</v>
      </c>
    </row>
    <row r="1625" s="33" customFormat="true" ht="14.25" hidden="false" customHeight="false" outlineLevel="0" collapsed="false">
      <c r="A1625" s="34" t="n">
        <f aca="false">A1624+1</f>
        <v>1620</v>
      </c>
      <c r="B1625" s="35" t="s">
        <v>1323</v>
      </c>
      <c r="C1625" s="35" t="str">
        <f aca="false">"0010504"</f>
        <v>0010504</v>
      </c>
      <c r="D1625" s="37" t="s">
        <v>114</v>
      </c>
      <c r="E1625" s="35" t="n">
        <v>1987</v>
      </c>
      <c r="F1625" s="38" t="n">
        <v>61.92</v>
      </c>
      <c r="G1625" s="39" t="n">
        <v>1</v>
      </c>
      <c r="H1625" s="40" t="n">
        <v>5</v>
      </c>
    </row>
    <row r="1626" s="33" customFormat="true" ht="14.25" hidden="false" customHeight="false" outlineLevel="0" collapsed="false">
      <c r="A1626" s="34" t="n">
        <f aca="false">A1625+1</f>
        <v>1621</v>
      </c>
      <c r="B1626" s="35" t="s">
        <v>1323</v>
      </c>
      <c r="C1626" s="35" t="str">
        <f aca="false">"0013534"</f>
        <v>0013534</v>
      </c>
      <c r="D1626" s="37" t="s">
        <v>1107</v>
      </c>
      <c r="E1626" s="35" t="n">
        <v>1987</v>
      </c>
      <c r="F1626" s="38" t="n">
        <v>95.69</v>
      </c>
      <c r="G1626" s="39" t="n">
        <v>1</v>
      </c>
      <c r="H1626" s="40" t="n">
        <v>5</v>
      </c>
    </row>
    <row r="1627" s="33" customFormat="true" ht="14.25" hidden="false" customHeight="false" outlineLevel="0" collapsed="false">
      <c r="A1627" s="34" t="n">
        <f aca="false">A1626+1</f>
        <v>1622</v>
      </c>
      <c r="B1627" s="35" t="s">
        <v>1323</v>
      </c>
      <c r="C1627" s="35" t="str">
        <f aca="false">"0013882"</f>
        <v>0013882</v>
      </c>
      <c r="D1627" s="37" t="s">
        <v>1333</v>
      </c>
      <c r="E1627" s="35" t="n">
        <v>2004</v>
      </c>
      <c r="F1627" s="38" t="n">
        <v>3278.6</v>
      </c>
      <c r="G1627" s="39" t="n">
        <v>1</v>
      </c>
      <c r="H1627" s="40" t="n">
        <v>200</v>
      </c>
    </row>
    <row r="1628" s="33" customFormat="true" ht="14.25" hidden="false" customHeight="false" outlineLevel="0" collapsed="false">
      <c r="A1628" s="34" t="n">
        <f aca="false">A1627+1</f>
        <v>1623</v>
      </c>
      <c r="B1628" s="35" t="s">
        <v>1323</v>
      </c>
      <c r="C1628" s="35" t="str">
        <f aca="false">"0015788"</f>
        <v>0015788</v>
      </c>
      <c r="D1628" s="37" t="s">
        <v>1334</v>
      </c>
      <c r="E1628" s="35" t="n">
        <v>2006</v>
      </c>
      <c r="F1628" s="38" t="n">
        <v>1300</v>
      </c>
      <c r="G1628" s="39" t="n">
        <v>1</v>
      </c>
      <c r="H1628" s="40" t="n">
        <v>80</v>
      </c>
    </row>
    <row r="1629" s="33" customFormat="true" ht="14.25" hidden="false" customHeight="false" outlineLevel="0" collapsed="false">
      <c r="A1629" s="34" t="n">
        <f aca="false">A1628+1</f>
        <v>1624</v>
      </c>
      <c r="B1629" s="35" t="s">
        <v>1323</v>
      </c>
      <c r="C1629" s="35" t="str">
        <f aca="false">"0034766"</f>
        <v>0034766</v>
      </c>
      <c r="D1629" s="37" t="s">
        <v>164</v>
      </c>
      <c r="E1629" s="35" t="n">
        <v>2006</v>
      </c>
      <c r="F1629" s="38" t="n">
        <v>941.68</v>
      </c>
      <c r="G1629" s="39" t="n">
        <v>1</v>
      </c>
      <c r="H1629" s="40" t="n">
        <v>60</v>
      </c>
    </row>
    <row r="1630" s="33" customFormat="true" ht="14.25" hidden="false" customHeight="false" outlineLevel="0" collapsed="false">
      <c r="A1630" s="34" t="n">
        <f aca="false">A1629+1</f>
        <v>1625</v>
      </c>
      <c r="B1630" s="35" t="s">
        <v>1323</v>
      </c>
      <c r="C1630" s="35" t="str">
        <f aca="false">"0037966"</f>
        <v>0037966</v>
      </c>
      <c r="D1630" s="37" t="s">
        <v>1335</v>
      </c>
      <c r="E1630" s="35" t="n">
        <v>2008</v>
      </c>
      <c r="F1630" s="38" t="n">
        <v>150000</v>
      </c>
      <c r="G1630" s="39" t="n">
        <v>1</v>
      </c>
      <c r="H1630" s="40" t="n">
        <v>18240</v>
      </c>
    </row>
    <row r="1631" s="33" customFormat="true" ht="14.25" hidden="false" customHeight="false" outlineLevel="0" collapsed="false">
      <c r="A1631" s="34" t="n">
        <f aca="false">A1630+1</f>
        <v>1626</v>
      </c>
      <c r="B1631" s="35" t="s">
        <v>1323</v>
      </c>
      <c r="C1631" s="35" t="str">
        <f aca="false">"0038999"</f>
        <v>0038999</v>
      </c>
      <c r="D1631" s="37" t="s">
        <v>210</v>
      </c>
      <c r="E1631" s="35" t="n">
        <v>2008</v>
      </c>
      <c r="F1631" s="38" t="n">
        <v>4255.49</v>
      </c>
      <c r="G1631" s="39" t="n">
        <v>1</v>
      </c>
      <c r="H1631" s="40" t="n">
        <v>430</v>
      </c>
    </row>
    <row r="1632" s="33" customFormat="true" ht="14.25" hidden="false" customHeight="false" outlineLevel="0" collapsed="false">
      <c r="A1632" s="34" t="n">
        <f aca="false">A1631+1</f>
        <v>1627</v>
      </c>
      <c r="B1632" s="35" t="s">
        <v>1323</v>
      </c>
      <c r="C1632" s="35" t="str">
        <f aca="false">"0041151"</f>
        <v>0041151</v>
      </c>
      <c r="D1632" s="37" t="s">
        <v>1336</v>
      </c>
      <c r="E1632" s="35" t="n">
        <v>2011</v>
      </c>
      <c r="F1632" s="38" t="n">
        <v>3530.8</v>
      </c>
      <c r="G1632" s="39" t="n">
        <v>1</v>
      </c>
      <c r="H1632" s="40" t="n">
        <v>300</v>
      </c>
    </row>
    <row r="1633" s="33" customFormat="true" ht="14.25" hidden="false" customHeight="false" outlineLevel="0" collapsed="false">
      <c r="A1633" s="34" t="n">
        <f aca="false">A1632+1</f>
        <v>1628</v>
      </c>
      <c r="B1633" s="35" t="s">
        <v>1323</v>
      </c>
      <c r="C1633" s="35" t="str">
        <f aca="false">"0041202"</f>
        <v>0041202</v>
      </c>
      <c r="D1633" s="37" t="s">
        <v>1337</v>
      </c>
      <c r="E1633" s="35" t="n">
        <v>2011</v>
      </c>
      <c r="F1633" s="38" t="n">
        <v>1417.68</v>
      </c>
      <c r="G1633" s="39" t="n">
        <v>1</v>
      </c>
      <c r="H1633" s="40" t="n">
        <v>120</v>
      </c>
    </row>
    <row r="1634" s="33" customFormat="true" ht="14.25" hidden="false" customHeight="false" outlineLevel="0" collapsed="false">
      <c r="A1634" s="34" t="n">
        <f aca="false">A1633+1</f>
        <v>1629</v>
      </c>
      <c r="B1634" s="35" t="s">
        <v>1323</v>
      </c>
      <c r="C1634" s="35" t="str">
        <f aca="false">"0043836"</f>
        <v>0043836</v>
      </c>
      <c r="D1634" s="37" t="s">
        <v>1338</v>
      </c>
      <c r="E1634" s="35" t="n">
        <v>2014</v>
      </c>
      <c r="F1634" s="38" t="n">
        <v>1209.15</v>
      </c>
      <c r="G1634" s="39" t="n">
        <v>1</v>
      </c>
      <c r="H1634" s="40" t="n">
        <v>135</v>
      </c>
    </row>
    <row r="1635" s="33" customFormat="true" ht="14.25" hidden="false" customHeight="false" outlineLevel="0" collapsed="false">
      <c r="A1635" s="34" t="n">
        <f aca="false">A1634+1</f>
        <v>1630</v>
      </c>
      <c r="B1635" s="35" t="s">
        <v>1339</v>
      </c>
      <c r="C1635" s="35" t="str">
        <f aca="false">"0000092"</f>
        <v>0000092</v>
      </c>
      <c r="D1635" s="37" t="s">
        <v>1340</v>
      </c>
      <c r="E1635" s="35" t="n">
        <v>1977</v>
      </c>
      <c r="F1635" s="38" t="n">
        <f aca="false">9771.42*1.3</f>
        <v>12702.846</v>
      </c>
      <c r="G1635" s="39" t="n">
        <v>1</v>
      </c>
      <c r="H1635" s="40" t="n">
        <v>510</v>
      </c>
    </row>
    <row r="1636" s="33" customFormat="true" ht="14.25" hidden="false" customHeight="false" outlineLevel="0" collapsed="false">
      <c r="A1636" s="34" t="n">
        <f aca="false">A1635+1</f>
        <v>1631</v>
      </c>
      <c r="B1636" s="35" t="s">
        <v>1339</v>
      </c>
      <c r="C1636" s="35" t="str">
        <f aca="false">"0017448"</f>
        <v>0017448</v>
      </c>
      <c r="D1636" s="37" t="s">
        <v>1341</v>
      </c>
      <c r="E1636" s="35" t="n">
        <v>1987</v>
      </c>
      <c r="F1636" s="38" t="n">
        <f aca="false">244257.44*1.2</f>
        <v>293108.928</v>
      </c>
      <c r="G1636" s="39" t="n">
        <v>1</v>
      </c>
      <c r="H1636" s="40" t="n">
        <v>14540</v>
      </c>
    </row>
    <row r="1637" s="33" customFormat="true" ht="14.25" hidden="false" customHeight="false" outlineLevel="0" collapsed="false">
      <c r="A1637" s="34" t="n">
        <f aca="false">A1636+1</f>
        <v>1632</v>
      </c>
      <c r="B1637" s="35" t="s">
        <v>1342</v>
      </c>
      <c r="C1637" s="35" t="str">
        <f aca="false">"0017312"</f>
        <v>0017312</v>
      </c>
      <c r="D1637" s="37" t="s">
        <v>1343</v>
      </c>
      <c r="E1637" s="35" t="n">
        <v>1987</v>
      </c>
      <c r="F1637" s="38" t="n">
        <f aca="false">14657.13*1.2</f>
        <v>17588.556</v>
      </c>
      <c r="G1637" s="39" t="n">
        <v>1</v>
      </c>
      <c r="H1637" s="40" t="n">
        <v>870</v>
      </c>
    </row>
    <row r="1638" s="33" customFormat="true" ht="14.25" hidden="false" customHeight="false" outlineLevel="0" collapsed="false">
      <c r="A1638" s="46" t="n">
        <f aca="false">A1637+1</f>
        <v>1633</v>
      </c>
      <c r="B1638" s="35" t="s">
        <v>1344</v>
      </c>
      <c r="C1638" s="35" t="s">
        <v>1344</v>
      </c>
      <c r="D1638" s="37" t="s">
        <v>1345</v>
      </c>
      <c r="E1638" s="35" t="n">
        <v>1960</v>
      </c>
      <c r="F1638" s="47" t="n">
        <f aca="false">346856.67*1.2</f>
        <v>416228.004</v>
      </c>
      <c r="G1638" s="39" t="n">
        <v>1</v>
      </c>
      <c r="H1638" s="48" t="n">
        <v>11055</v>
      </c>
    </row>
    <row r="1639" s="33" customFormat="true" ht="14.25" hidden="false" customHeight="false" outlineLevel="0" collapsed="false">
      <c r="A1639" s="46" t="n">
        <f aca="false">A1638+1</f>
        <v>1634</v>
      </c>
      <c r="B1639" s="35" t="s">
        <v>1344</v>
      </c>
      <c r="C1639" s="35" t="s">
        <v>1344</v>
      </c>
      <c r="D1639" s="37" t="s">
        <v>1346</v>
      </c>
      <c r="E1639" s="35" t="n">
        <v>1934</v>
      </c>
      <c r="F1639" s="47" t="n">
        <f aca="false">38648.49*1.5</f>
        <v>57972.735</v>
      </c>
      <c r="G1639" s="39" t="n">
        <v>1</v>
      </c>
      <c r="H1639" s="48" t="n">
        <v>370</v>
      </c>
    </row>
    <row r="1640" s="33" customFormat="true" ht="14.25" hidden="false" customHeight="false" outlineLevel="0" collapsed="false">
      <c r="A1640" s="34" t="n">
        <f aca="false">A1639+1</f>
        <v>1635</v>
      </c>
      <c r="B1640" s="35" t="s">
        <v>1339</v>
      </c>
      <c r="C1640" s="35" t="str">
        <f aca="false">"0000209"</f>
        <v>0000209</v>
      </c>
      <c r="D1640" s="37" t="s">
        <v>1347</v>
      </c>
      <c r="E1640" s="35" t="n">
        <v>1987</v>
      </c>
      <c r="F1640" s="38" t="n">
        <f aca="false">2442.86*1.2</f>
        <v>2931.432</v>
      </c>
      <c r="G1640" s="39" t="n">
        <v>1</v>
      </c>
      <c r="H1640" s="40" t="n">
        <v>145</v>
      </c>
    </row>
    <row r="1641" s="33" customFormat="true" ht="14.25" hidden="false" customHeight="false" outlineLevel="0" collapsed="false">
      <c r="A1641" s="34" t="n">
        <f aca="false">A1640+1</f>
        <v>1636</v>
      </c>
      <c r="B1641" s="35" t="s">
        <v>1339</v>
      </c>
      <c r="C1641" s="35" t="str">
        <f aca="false">"0001559"</f>
        <v>0001559</v>
      </c>
      <c r="D1641" s="37" t="s">
        <v>1348</v>
      </c>
      <c r="E1641" s="35" t="n">
        <v>1987</v>
      </c>
      <c r="F1641" s="38" t="n">
        <f aca="false">48851.49*1.2</f>
        <v>58621.788</v>
      </c>
      <c r="G1641" s="39" t="n">
        <v>1</v>
      </c>
      <c r="H1641" s="40" t="n">
        <v>2910</v>
      </c>
    </row>
    <row r="1642" s="33" customFormat="true" ht="14.25" hidden="false" customHeight="false" outlineLevel="0" collapsed="false">
      <c r="A1642" s="34" t="n">
        <f aca="false">A1641+1</f>
        <v>1637</v>
      </c>
      <c r="B1642" s="35" t="s">
        <v>1339</v>
      </c>
      <c r="C1642" s="35" t="str">
        <f aca="false">"0001802"</f>
        <v>0001802</v>
      </c>
      <c r="D1642" s="37" t="s">
        <v>1349</v>
      </c>
      <c r="E1642" s="35" t="n">
        <v>1987</v>
      </c>
      <c r="F1642" s="38" t="n">
        <f aca="false">4885.71*1.2</f>
        <v>5862.852</v>
      </c>
      <c r="G1642" s="39" t="n">
        <v>1</v>
      </c>
      <c r="H1642" s="40" t="n">
        <v>280</v>
      </c>
    </row>
    <row r="1643" s="33" customFormat="true" ht="14.25" hidden="false" customHeight="false" outlineLevel="0" collapsed="false">
      <c r="A1643" s="34" t="n">
        <f aca="false">A1642+1</f>
        <v>1638</v>
      </c>
      <c r="B1643" s="35" t="s">
        <v>1339</v>
      </c>
      <c r="C1643" s="35" t="str">
        <f aca="false">"0001857"</f>
        <v>0001857</v>
      </c>
      <c r="D1643" s="37" t="s">
        <v>1350</v>
      </c>
      <c r="E1643" s="35" t="n">
        <v>1987</v>
      </c>
      <c r="F1643" s="38" t="n">
        <f aca="false">24422.93*1.2</f>
        <v>29307.516</v>
      </c>
      <c r="G1643" s="39" t="n">
        <v>1</v>
      </c>
      <c r="H1643" s="40" t="n">
        <v>1450</v>
      </c>
    </row>
    <row r="1644" s="33" customFormat="true" ht="14.25" hidden="false" customHeight="false" outlineLevel="0" collapsed="false">
      <c r="A1644" s="34" t="n">
        <f aca="false">A1643+1</f>
        <v>1639</v>
      </c>
      <c r="B1644" s="35" t="s">
        <v>1339</v>
      </c>
      <c r="C1644" s="35" t="str">
        <f aca="false">"0002960"</f>
        <v>0002960</v>
      </c>
      <c r="D1644" s="37" t="s">
        <v>1351</v>
      </c>
      <c r="E1644" s="35" t="n">
        <v>1987</v>
      </c>
      <c r="F1644" s="38" t="n">
        <f aca="false">97702.97*1.2</f>
        <v>117243.564</v>
      </c>
      <c r="G1644" s="39" t="n">
        <v>2</v>
      </c>
      <c r="H1644" s="40" t="n">
        <v>12300</v>
      </c>
    </row>
    <row r="1645" s="33" customFormat="true" ht="14.25" hidden="false" customHeight="false" outlineLevel="0" collapsed="false">
      <c r="A1645" s="34" t="n">
        <f aca="false">A1644+1</f>
        <v>1640</v>
      </c>
      <c r="B1645" s="35" t="s">
        <v>1339</v>
      </c>
      <c r="C1645" s="35" t="str">
        <f aca="false">"0004128"</f>
        <v>0004128</v>
      </c>
      <c r="D1645" s="37" t="s">
        <v>1352</v>
      </c>
      <c r="E1645" s="35" t="n">
        <v>1987</v>
      </c>
      <c r="F1645" s="38" t="n">
        <f aca="false">14657.13*1.2</f>
        <v>17588.556</v>
      </c>
      <c r="G1645" s="39" t="n">
        <v>1</v>
      </c>
      <c r="H1645" s="40" t="n">
        <v>870</v>
      </c>
    </row>
    <row r="1646" s="33" customFormat="true" ht="14.25" hidden="false" customHeight="false" outlineLevel="0" collapsed="false">
      <c r="A1646" s="34" t="n">
        <f aca="false">A1645+1</f>
        <v>1641</v>
      </c>
      <c r="B1646" s="35" t="s">
        <v>1339</v>
      </c>
      <c r="C1646" s="35" t="str">
        <f aca="false">"0004149"</f>
        <v>0004149</v>
      </c>
      <c r="D1646" s="37" t="s">
        <v>1353</v>
      </c>
      <c r="E1646" s="35" t="n">
        <v>1980</v>
      </c>
      <c r="F1646" s="38" t="n">
        <f aca="false">97702.97*1.2</f>
        <v>117243.564</v>
      </c>
      <c r="G1646" s="39" t="n">
        <v>1</v>
      </c>
      <c r="H1646" s="40" t="n">
        <v>5815</v>
      </c>
    </row>
    <row r="1647" s="33" customFormat="true" ht="14.25" hidden="false" customHeight="false" outlineLevel="0" collapsed="false">
      <c r="A1647" s="34" t="n">
        <f aca="false">A1646+1</f>
        <v>1642</v>
      </c>
      <c r="B1647" s="35" t="s">
        <v>1339</v>
      </c>
      <c r="C1647" s="35" t="str">
        <f aca="false">"0004490"</f>
        <v>0004490</v>
      </c>
      <c r="D1647" s="37" t="s">
        <v>1354</v>
      </c>
      <c r="E1647" s="35" t="n">
        <v>1978</v>
      </c>
      <c r="F1647" s="38" t="n">
        <f aca="false">97702.97*1.2</f>
        <v>117243.564</v>
      </c>
      <c r="G1647" s="39" t="n">
        <v>1</v>
      </c>
      <c r="H1647" s="40" t="n">
        <v>4800</v>
      </c>
    </row>
    <row r="1648" s="33" customFormat="true" ht="14.25" hidden="false" customHeight="false" outlineLevel="0" collapsed="false">
      <c r="A1648" s="34" t="n">
        <f aca="false">A1647+1</f>
        <v>1643</v>
      </c>
      <c r="B1648" s="35" t="s">
        <v>1339</v>
      </c>
      <c r="C1648" s="35" t="str">
        <f aca="false">"0004491"</f>
        <v>0004491</v>
      </c>
      <c r="D1648" s="37" t="s">
        <v>1355</v>
      </c>
      <c r="E1648" s="35" t="n">
        <v>1979</v>
      </c>
      <c r="F1648" s="38" t="n">
        <f aca="false">24422.93*1.2</f>
        <v>29307.516</v>
      </c>
      <c r="G1648" s="39" t="n">
        <v>1</v>
      </c>
      <c r="H1648" s="40" t="n">
        <v>1230</v>
      </c>
    </row>
    <row r="1649" s="33" customFormat="true" ht="14.25" hidden="false" customHeight="false" outlineLevel="0" collapsed="false">
      <c r="A1649" s="34" t="n">
        <f aca="false">A1648+1</f>
        <v>1644</v>
      </c>
      <c r="B1649" s="35" t="s">
        <v>1339</v>
      </c>
      <c r="C1649" s="35" t="str">
        <f aca="false">"0004532"</f>
        <v>0004532</v>
      </c>
      <c r="D1649" s="37" t="s">
        <v>1356</v>
      </c>
      <c r="E1649" s="35" t="n">
        <v>1979</v>
      </c>
      <c r="F1649" s="38" t="n">
        <f aca="false">97702.97*1.2</f>
        <v>117243.564</v>
      </c>
      <c r="G1649" s="39" t="n">
        <v>1</v>
      </c>
      <c r="H1649" s="40" t="n">
        <v>4920</v>
      </c>
    </row>
    <row r="1650" s="33" customFormat="true" ht="14.25" hidden="false" customHeight="false" outlineLevel="0" collapsed="false">
      <c r="A1650" s="34" t="n">
        <f aca="false">A1649+1</f>
        <v>1645</v>
      </c>
      <c r="B1650" s="35" t="s">
        <v>1339</v>
      </c>
      <c r="C1650" s="35" t="str">
        <f aca="false">"0005085"</f>
        <v>0005085</v>
      </c>
      <c r="D1650" s="37" t="s">
        <v>1357</v>
      </c>
      <c r="E1650" s="35" t="n">
        <v>1981</v>
      </c>
      <c r="F1650" s="38" t="n">
        <f aca="false">24422.93*1.2</f>
        <v>29307.516</v>
      </c>
      <c r="G1650" s="39" t="n">
        <v>1</v>
      </c>
      <c r="H1650" s="40" t="n">
        <v>1300</v>
      </c>
    </row>
    <row r="1651" s="33" customFormat="true" ht="14.25" hidden="false" customHeight="false" outlineLevel="0" collapsed="false">
      <c r="A1651" s="34" t="n">
        <f aca="false">A1650+1</f>
        <v>1646</v>
      </c>
      <c r="B1651" s="35" t="s">
        <v>1339</v>
      </c>
      <c r="C1651" s="35" t="str">
        <f aca="false">"0005752"</f>
        <v>0005752</v>
      </c>
      <c r="D1651" s="37" t="s">
        <v>1358</v>
      </c>
      <c r="E1651" s="35" t="n">
        <v>1984</v>
      </c>
      <c r="F1651" s="38" t="n">
        <f aca="false">48851.49*1.2</f>
        <v>58621.788</v>
      </c>
      <c r="G1651" s="39" t="n">
        <v>1</v>
      </c>
      <c r="H1651" s="40" t="n">
        <v>2740</v>
      </c>
    </row>
    <row r="1652" s="33" customFormat="true" ht="14.25" hidden="false" customHeight="false" outlineLevel="0" collapsed="false">
      <c r="A1652" s="34" t="n">
        <f aca="false">A1651+1</f>
        <v>1647</v>
      </c>
      <c r="B1652" s="35" t="s">
        <v>1339</v>
      </c>
      <c r="C1652" s="35" t="str">
        <f aca="false">"0006068"</f>
        <v>0006068</v>
      </c>
      <c r="D1652" s="37" t="s">
        <v>1359</v>
      </c>
      <c r="E1652" s="35" t="n">
        <v>1987</v>
      </c>
      <c r="F1652" s="38" t="n">
        <f aca="false">97702.97*1.2</f>
        <v>117243.564</v>
      </c>
      <c r="G1652" s="39" t="n">
        <v>1</v>
      </c>
      <c r="H1652" s="40" t="n">
        <v>4850</v>
      </c>
    </row>
    <row r="1653" s="33" customFormat="true" ht="14.25" hidden="false" customHeight="false" outlineLevel="0" collapsed="false">
      <c r="A1653" s="34" t="n">
        <f aca="false">A1652+1</f>
        <v>1648</v>
      </c>
      <c r="B1653" s="35" t="s">
        <v>1339</v>
      </c>
      <c r="C1653" s="35" t="str">
        <f aca="false">"0006783"</f>
        <v>0006783</v>
      </c>
      <c r="D1653" s="37" t="s">
        <v>1194</v>
      </c>
      <c r="E1653" s="35" t="n">
        <v>1987</v>
      </c>
      <c r="F1653" s="38" t="n">
        <v>28.14</v>
      </c>
      <c r="G1653" s="39" t="n">
        <v>1</v>
      </c>
      <c r="H1653" s="40" t="n">
        <v>5</v>
      </c>
    </row>
    <row r="1654" s="33" customFormat="true" ht="14.25" hidden="false" customHeight="false" outlineLevel="0" collapsed="false">
      <c r="A1654" s="34" t="n">
        <f aca="false">A1653+1</f>
        <v>1649</v>
      </c>
      <c r="B1654" s="35" t="s">
        <v>1339</v>
      </c>
      <c r="C1654" s="35" t="str">
        <f aca="false">"0007075"</f>
        <v>0007075</v>
      </c>
      <c r="D1654" s="37" t="s">
        <v>1360</v>
      </c>
      <c r="E1654" s="35" t="n">
        <v>1987</v>
      </c>
      <c r="F1654" s="38" t="n">
        <f aca="false">146554.46*1.2</f>
        <v>175865.352</v>
      </c>
      <c r="G1654" s="39" t="n">
        <v>1</v>
      </c>
      <c r="H1654" s="40" t="n">
        <v>8720</v>
      </c>
    </row>
    <row r="1655" s="33" customFormat="true" ht="14.25" hidden="false" customHeight="false" outlineLevel="0" collapsed="false">
      <c r="A1655" s="34" t="n">
        <f aca="false">A1654+1</f>
        <v>1650</v>
      </c>
      <c r="B1655" s="35" t="s">
        <v>1339</v>
      </c>
      <c r="C1655" s="35" t="str">
        <f aca="false">"0007484"</f>
        <v>0007484</v>
      </c>
      <c r="D1655" s="37" t="s">
        <v>1249</v>
      </c>
      <c r="E1655" s="35" t="n">
        <v>1987</v>
      </c>
      <c r="F1655" s="38" t="n">
        <f aca="false">1860*7.5</f>
        <v>13950</v>
      </c>
      <c r="G1655" s="39" t="n">
        <v>4</v>
      </c>
      <c r="H1655" s="40" t="n">
        <v>2640</v>
      </c>
    </row>
    <row r="1656" s="33" customFormat="true" ht="14.25" hidden="false" customHeight="false" outlineLevel="0" collapsed="false">
      <c r="A1656" s="34" t="n">
        <f aca="false">A1655+1</f>
        <v>1651</v>
      </c>
      <c r="B1656" s="35" t="s">
        <v>1339</v>
      </c>
      <c r="C1656" s="35" t="str">
        <f aca="false">"0008569"</f>
        <v>0008569</v>
      </c>
      <c r="D1656" s="37" t="s">
        <v>114</v>
      </c>
      <c r="E1656" s="35" t="n">
        <v>1987</v>
      </c>
      <c r="F1656" s="38" t="n">
        <v>33.77</v>
      </c>
      <c r="G1656" s="39" t="n">
        <v>1</v>
      </c>
      <c r="H1656" s="40" t="n">
        <v>5</v>
      </c>
    </row>
    <row r="1657" s="33" customFormat="true" ht="14.25" hidden="false" customHeight="false" outlineLevel="0" collapsed="false">
      <c r="A1657" s="34" t="n">
        <f aca="false">A1656+1</f>
        <v>1652</v>
      </c>
      <c r="B1657" s="35" t="s">
        <v>1339</v>
      </c>
      <c r="C1657" s="35" t="str">
        <f aca="false">"0009759"</f>
        <v>0009759</v>
      </c>
      <c r="D1657" s="37" t="s">
        <v>1361</v>
      </c>
      <c r="E1657" s="35" t="n">
        <v>1997</v>
      </c>
      <c r="F1657" s="38" t="n">
        <v>869</v>
      </c>
      <c r="G1657" s="39" t="n">
        <v>1</v>
      </c>
      <c r="H1657" s="40" t="n">
        <v>50</v>
      </c>
    </row>
    <row r="1658" s="33" customFormat="true" ht="14.25" hidden="false" customHeight="false" outlineLevel="0" collapsed="false">
      <c r="A1658" s="34" t="n">
        <f aca="false">A1657+1</f>
        <v>1653</v>
      </c>
      <c r="B1658" s="35" t="s">
        <v>1339</v>
      </c>
      <c r="C1658" s="35" t="str">
        <f aca="false">"0017049"</f>
        <v>0017049</v>
      </c>
      <c r="D1658" s="37" t="s">
        <v>1362</v>
      </c>
      <c r="E1658" s="35" t="n">
        <v>1987</v>
      </c>
      <c r="F1658" s="38" t="n">
        <f aca="false">24422.93*1.2</f>
        <v>29307.516</v>
      </c>
      <c r="G1658" s="39" t="n">
        <v>1</v>
      </c>
      <c r="H1658" s="40" t="n">
        <v>1450</v>
      </c>
    </row>
    <row r="1659" s="33" customFormat="true" ht="14.25" hidden="false" customHeight="false" outlineLevel="0" collapsed="false">
      <c r="A1659" s="34" t="n">
        <f aca="false">A1658+1</f>
        <v>1654</v>
      </c>
      <c r="B1659" s="35" t="s">
        <v>1339</v>
      </c>
      <c r="C1659" s="35" t="str">
        <f aca="false">"0021371"</f>
        <v>0021371</v>
      </c>
      <c r="D1659" s="37" t="s">
        <v>114</v>
      </c>
      <c r="E1659" s="35" t="n">
        <v>1979</v>
      </c>
      <c r="F1659" s="38" t="n">
        <v>2645.49</v>
      </c>
      <c r="G1659" s="39" t="n">
        <v>1</v>
      </c>
      <c r="H1659" s="40" t="n">
        <v>100</v>
      </c>
    </row>
    <row r="1660" s="33" customFormat="true" ht="14.25" hidden="false" customHeight="false" outlineLevel="0" collapsed="false">
      <c r="A1660" s="34" t="n">
        <f aca="false">A1659+1</f>
        <v>1655</v>
      </c>
      <c r="B1660" s="35" t="s">
        <v>1339</v>
      </c>
      <c r="C1660" s="35" t="str">
        <f aca="false">"0028307"</f>
        <v>0028307</v>
      </c>
      <c r="D1660" s="37" t="s">
        <v>1196</v>
      </c>
      <c r="E1660" s="35" t="n">
        <v>1986</v>
      </c>
      <c r="F1660" s="38" t="n">
        <v>28751.4</v>
      </c>
      <c r="G1660" s="39" t="n">
        <v>1</v>
      </c>
      <c r="H1660" s="40" t="n">
        <v>1340</v>
      </c>
    </row>
    <row r="1661" s="33" customFormat="true" ht="14.25" hidden="false" customHeight="false" outlineLevel="0" collapsed="false">
      <c r="A1661" s="34" t="n">
        <f aca="false">A1660+1</f>
        <v>1656</v>
      </c>
      <c r="B1661" s="35" t="s">
        <v>1339</v>
      </c>
      <c r="C1661" s="35" t="str">
        <f aca="false">"0049822"</f>
        <v>0049822</v>
      </c>
      <c r="D1661" s="37" t="s">
        <v>181</v>
      </c>
      <c r="E1661" s="35" t="n">
        <v>2000</v>
      </c>
      <c r="F1661" s="38" t="n">
        <v>821.44</v>
      </c>
      <c r="G1661" s="39" t="n">
        <v>1</v>
      </c>
      <c r="H1661" s="40" t="n">
        <v>50</v>
      </c>
    </row>
    <row r="1662" s="33" customFormat="true" ht="14.25" hidden="false" customHeight="false" outlineLevel="0" collapsed="false">
      <c r="A1662" s="34" t="n">
        <f aca="false">A1661+1</f>
        <v>1657</v>
      </c>
      <c r="B1662" s="35" t="s">
        <v>1363</v>
      </c>
      <c r="C1662" s="35" t="str">
        <f aca="false">"0004192"</f>
        <v>0004192</v>
      </c>
      <c r="D1662" s="37" t="s">
        <v>1239</v>
      </c>
      <c r="E1662" s="35" t="n">
        <v>1987</v>
      </c>
      <c r="F1662" s="38" t="n">
        <v>9771.42</v>
      </c>
      <c r="G1662" s="39" t="n">
        <v>2</v>
      </c>
      <c r="H1662" s="40" t="n">
        <v>940</v>
      </c>
    </row>
    <row r="1663" s="33" customFormat="true" ht="14.25" hidden="false" customHeight="false" outlineLevel="0" collapsed="false">
      <c r="A1663" s="34" t="n">
        <f aca="false">A1662+1</f>
        <v>1658</v>
      </c>
      <c r="B1663" s="35" t="s">
        <v>1363</v>
      </c>
      <c r="C1663" s="35" t="str">
        <f aca="false">"0004448"</f>
        <v>0004448</v>
      </c>
      <c r="D1663" s="37" t="s">
        <v>1364</v>
      </c>
      <c r="E1663" s="35" t="n">
        <v>1977</v>
      </c>
      <c r="F1663" s="38" t="n">
        <v>9771.42</v>
      </c>
      <c r="G1663" s="39" t="n">
        <v>1</v>
      </c>
      <c r="H1663" s="40" t="n">
        <v>370</v>
      </c>
    </row>
    <row r="1664" s="33" customFormat="true" ht="14.25" hidden="false" customHeight="false" outlineLevel="0" collapsed="false">
      <c r="A1664" s="46" t="n">
        <f aca="false">A1663+1</f>
        <v>1659</v>
      </c>
      <c r="B1664" s="35" t="s">
        <v>1363</v>
      </c>
      <c r="C1664" s="35" t="str">
        <f aca="false">"0044094"</f>
        <v>0044094</v>
      </c>
      <c r="D1664" s="37" t="s">
        <v>1365</v>
      </c>
      <c r="E1664" s="35" t="n">
        <v>2014</v>
      </c>
      <c r="F1664" s="38" t="n">
        <v>63481.97</v>
      </c>
      <c r="G1664" s="39" t="n">
        <v>1</v>
      </c>
      <c r="H1664" s="40" t="n">
        <v>17930</v>
      </c>
    </row>
    <row r="1665" s="33" customFormat="true" ht="14.25" hidden="false" customHeight="false" outlineLevel="0" collapsed="false">
      <c r="A1665" s="34" t="n">
        <f aca="false">A1664+1</f>
        <v>1660</v>
      </c>
      <c r="B1665" s="35" t="s">
        <v>1363</v>
      </c>
      <c r="C1665" s="35" t="str">
        <f aca="false">"0044772"</f>
        <v>0044772</v>
      </c>
      <c r="D1665" s="37" t="s">
        <v>1366</v>
      </c>
      <c r="E1665" s="35" t="n">
        <v>2015</v>
      </c>
      <c r="F1665" s="38" t="n">
        <v>46860.51</v>
      </c>
      <c r="G1665" s="39" t="n">
        <v>1</v>
      </c>
      <c r="H1665" s="40" t="n">
        <v>16500</v>
      </c>
    </row>
    <row r="1666" s="33" customFormat="true" ht="14.25" hidden="false" customHeight="false" outlineLevel="0" collapsed="false">
      <c r="A1666" s="34" t="n">
        <f aca="false">A1665+1</f>
        <v>1661</v>
      </c>
      <c r="B1666" s="35" t="s">
        <v>1342</v>
      </c>
      <c r="C1666" s="35" t="str">
        <f aca="false">"0000091"</f>
        <v>0000091</v>
      </c>
      <c r="D1666" s="37" t="s">
        <v>1367</v>
      </c>
      <c r="E1666" s="35" t="n">
        <v>1977</v>
      </c>
      <c r="F1666" s="38" t="n">
        <f aca="false">1300*7.5</f>
        <v>9750</v>
      </c>
      <c r="G1666" s="39" t="n">
        <v>1</v>
      </c>
      <c r="H1666" s="40" t="n">
        <v>370</v>
      </c>
    </row>
    <row r="1667" s="33" customFormat="true" ht="14.25" hidden="false" customHeight="false" outlineLevel="0" collapsed="false">
      <c r="A1667" s="34" t="n">
        <f aca="false">A1666+1</f>
        <v>1662</v>
      </c>
      <c r="B1667" s="35" t="s">
        <v>1342</v>
      </c>
      <c r="C1667" s="35" t="str">
        <f aca="false">"0000891"</f>
        <v>0000891</v>
      </c>
      <c r="D1667" s="37" t="s">
        <v>1368</v>
      </c>
      <c r="E1667" s="35" t="n">
        <v>1987</v>
      </c>
      <c r="F1667" s="38" t="n">
        <f aca="false">73274.42*1.2</f>
        <v>87929.304</v>
      </c>
      <c r="G1667" s="39" t="n">
        <v>1</v>
      </c>
      <c r="H1667" s="40" t="n">
        <v>4615</v>
      </c>
    </row>
    <row r="1668" s="33" customFormat="true" ht="14.25" hidden="false" customHeight="false" outlineLevel="0" collapsed="false">
      <c r="A1668" s="46" t="n">
        <f aca="false">A1667+1</f>
        <v>1663</v>
      </c>
      <c r="B1668" s="35" t="s">
        <v>1342</v>
      </c>
      <c r="C1668" s="35" t="str">
        <f aca="false">"0001176"</f>
        <v>0001176</v>
      </c>
      <c r="D1668" s="37" t="s">
        <v>1369</v>
      </c>
      <c r="E1668" s="35" t="n">
        <v>1949</v>
      </c>
      <c r="F1668" s="38" t="n">
        <f aca="false">1465544.62*1.4</f>
        <v>2051762.468</v>
      </c>
      <c r="G1668" s="39" t="n">
        <v>1</v>
      </c>
      <c r="H1668" s="40" t="n">
        <v>32850</v>
      </c>
    </row>
    <row r="1669" s="33" customFormat="true" ht="14.25" hidden="false" customHeight="false" outlineLevel="0" collapsed="false">
      <c r="A1669" s="34" t="n">
        <f aca="false">A1668+1</f>
        <v>1664</v>
      </c>
      <c r="B1669" s="35" t="s">
        <v>1342</v>
      </c>
      <c r="C1669" s="35" t="str">
        <f aca="false">"0002527"</f>
        <v>0002527</v>
      </c>
      <c r="D1669" s="37" t="s">
        <v>1370</v>
      </c>
      <c r="E1669" s="35" t="n">
        <v>1987</v>
      </c>
      <c r="F1669" s="38" t="n">
        <f aca="false">4885.71*1.2</f>
        <v>5862.852</v>
      </c>
      <c r="G1669" s="39" t="n">
        <v>1</v>
      </c>
      <c r="H1669" s="40" t="n">
        <v>280</v>
      </c>
    </row>
    <row r="1670" s="33" customFormat="true" ht="14.25" hidden="false" customHeight="false" outlineLevel="0" collapsed="false">
      <c r="A1670" s="34" t="n">
        <f aca="false">A1669+1</f>
        <v>1665</v>
      </c>
      <c r="B1670" s="35" t="s">
        <v>1342</v>
      </c>
      <c r="C1670" s="35" t="str">
        <f aca="false">"0002667"</f>
        <v>0002667</v>
      </c>
      <c r="D1670" s="37" t="s">
        <v>1371</v>
      </c>
      <c r="E1670" s="35" t="n">
        <v>1987</v>
      </c>
      <c r="F1670" s="38" t="n">
        <f aca="false">4885.71*1.2</f>
        <v>5862.852</v>
      </c>
      <c r="G1670" s="39" t="n">
        <v>1</v>
      </c>
      <c r="H1670" s="40" t="n">
        <v>280</v>
      </c>
    </row>
    <row r="1671" s="33" customFormat="true" ht="14.25" hidden="false" customHeight="false" outlineLevel="0" collapsed="false">
      <c r="A1671" s="34" t="n">
        <f aca="false">A1670+1</f>
        <v>1666</v>
      </c>
      <c r="B1671" s="35" t="s">
        <v>1342</v>
      </c>
      <c r="C1671" s="35" t="str">
        <f aca="false">"0002823"</f>
        <v>0002823</v>
      </c>
      <c r="D1671" s="37" t="s">
        <v>1372</v>
      </c>
      <c r="E1671" s="35" t="n">
        <v>1987</v>
      </c>
      <c r="F1671" s="38" t="n">
        <f aca="false">24422.93*1.2</f>
        <v>29307.516</v>
      </c>
      <c r="G1671" s="39" t="n">
        <v>1</v>
      </c>
      <c r="H1671" s="40" t="n">
        <v>1450</v>
      </c>
    </row>
    <row r="1672" s="33" customFormat="true" ht="14.25" hidden="false" customHeight="false" outlineLevel="0" collapsed="false">
      <c r="A1672" s="34" t="n">
        <f aca="false">A1671+1</f>
        <v>1667</v>
      </c>
      <c r="B1672" s="35" t="s">
        <v>1342</v>
      </c>
      <c r="C1672" s="35" t="str">
        <f aca="false">"0004956"</f>
        <v>0004956</v>
      </c>
      <c r="D1672" s="37" t="s">
        <v>1371</v>
      </c>
      <c r="E1672" s="35" t="n">
        <v>1980</v>
      </c>
      <c r="F1672" s="38" t="n">
        <f aca="false">4885.71*1.25</f>
        <v>6107.1375</v>
      </c>
      <c r="G1672" s="39" t="n">
        <v>1</v>
      </c>
      <c r="H1672" s="40" t="n">
        <v>250</v>
      </c>
    </row>
    <row r="1673" s="33" customFormat="true" ht="14.25" hidden="false" customHeight="false" outlineLevel="0" collapsed="false">
      <c r="A1673" s="34" t="n">
        <f aca="false">A1672+1</f>
        <v>1668</v>
      </c>
      <c r="B1673" s="35" t="s">
        <v>1342</v>
      </c>
      <c r="C1673" s="35" t="str">
        <f aca="false">"0005052"</f>
        <v>0005052</v>
      </c>
      <c r="D1673" s="37" t="s">
        <v>1373</v>
      </c>
      <c r="E1673" s="35" t="n">
        <v>1987</v>
      </c>
      <c r="F1673" s="38" t="n">
        <v>112.57</v>
      </c>
      <c r="G1673" s="39" t="n">
        <v>1</v>
      </c>
      <c r="H1673" s="40" t="n">
        <v>5</v>
      </c>
    </row>
    <row r="1674" s="33" customFormat="true" ht="14.25" hidden="false" customHeight="false" outlineLevel="0" collapsed="false">
      <c r="A1674" s="34" t="n">
        <f aca="false">A1673+1</f>
        <v>1669</v>
      </c>
      <c r="B1674" s="35" t="s">
        <v>1342</v>
      </c>
      <c r="C1674" s="35" t="str">
        <f aca="false">"0006344"</f>
        <v>0006344</v>
      </c>
      <c r="D1674" s="37" t="s">
        <v>42</v>
      </c>
      <c r="E1674" s="35" t="n">
        <v>1987</v>
      </c>
      <c r="F1674" s="38" t="n">
        <v>56.29</v>
      </c>
      <c r="G1674" s="39" t="n">
        <v>1</v>
      </c>
      <c r="H1674" s="40" t="n">
        <v>5</v>
      </c>
    </row>
    <row r="1675" s="33" customFormat="true" ht="14.25" hidden="false" customHeight="false" outlineLevel="0" collapsed="false">
      <c r="A1675" s="46" t="n">
        <f aca="false">A1674+1</f>
        <v>1670</v>
      </c>
      <c r="B1675" s="35" t="s">
        <v>1342</v>
      </c>
      <c r="C1675" s="35" t="str">
        <f aca="false">"0006942"</f>
        <v>0006942</v>
      </c>
      <c r="D1675" s="37" t="s">
        <v>1374</v>
      </c>
      <c r="E1675" s="35" t="n">
        <v>1988</v>
      </c>
      <c r="F1675" s="38" t="n">
        <f aca="false">1709802.06*1.2</f>
        <v>2051762.472</v>
      </c>
      <c r="G1675" s="39" t="n">
        <v>1</v>
      </c>
      <c r="H1675" s="40" t="n">
        <v>109650</v>
      </c>
    </row>
    <row r="1676" s="33" customFormat="true" ht="14.25" hidden="false" customHeight="false" outlineLevel="0" collapsed="false">
      <c r="A1676" s="34" t="n">
        <f aca="false">A1675+1</f>
        <v>1671</v>
      </c>
      <c r="B1676" s="35" t="s">
        <v>1342</v>
      </c>
      <c r="C1676" s="35" t="str">
        <f aca="false">"0012837"</f>
        <v>0012837</v>
      </c>
      <c r="D1676" s="37" t="s">
        <v>1375</v>
      </c>
      <c r="E1676" s="35" t="n">
        <v>2003</v>
      </c>
      <c r="F1676" s="38" t="n">
        <v>197484.34</v>
      </c>
      <c r="G1676" s="39" t="n">
        <v>1</v>
      </c>
      <c r="H1676" s="40" t="n">
        <v>14535</v>
      </c>
    </row>
    <row r="1677" s="33" customFormat="true" ht="14.25" hidden="false" customHeight="false" outlineLevel="0" collapsed="false">
      <c r="A1677" s="34" t="n">
        <f aca="false">A1676+1</f>
        <v>1672</v>
      </c>
      <c r="B1677" s="35" t="s">
        <v>1342</v>
      </c>
      <c r="C1677" s="35" t="str">
        <f aca="false">"0012846"</f>
        <v>0012846</v>
      </c>
      <c r="D1677" s="37" t="s">
        <v>1376</v>
      </c>
      <c r="E1677" s="35" t="n">
        <v>2002</v>
      </c>
      <c r="F1677" s="38" t="n">
        <v>98570</v>
      </c>
      <c r="G1677" s="39" t="n">
        <v>1</v>
      </c>
      <c r="H1677" s="40" t="n">
        <v>6310</v>
      </c>
    </row>
    <row r="1678" s="33" customFormat="true" ht="14.25" hidden="false" customHeight="false" outlineLevel="0" collapsed="false">
      <c r="A1678" s="34" t="n">
        <f aca="false">A1677+1</f>
        <v>1673</v>
      </c>
      <c r="B1678" s="35" t="s">
        <v>1342</v>
      </c>
      <c r="C1678" s="35" t="str">
        <f aca="false">"0013229"</f>
        <v>0013229</v>
      </c>
      <c r="D1678" s="37" t="s">
        <v>114</v>
      </c>
      <c r="E1678" s="35" t="n">
        <v>1987</v>
      </c>
      <c r="F1678" s="38" t="n">
        <v>106.95</v>
      </c>
      <c r="G1678" s="39" t="n">
        <v>1</v>
      </c>
      <c r="H1678" s="40" t="n">
        <v>5</v>
      </c>
    </row>
    <row r="1679" s="33" customFormat="true" ht="14.25" hidden="false" customHeight="false" outlineLevel="0" collapsed="false">
      <c r="A1679" s="34" t="n">
        <f aca="false">A1678+1</f>
        <v>1674</v>
      </c>
      <c r="B1679" s="35" t="s">
        <v>1342</v>
      </c>
      <c r="C1679" s="35" t="str">
        <f aca="false">"0013470"</f>
        <v>0013470</v>
      </c>
      <c r="D1679" s="37" t="s">
        <v>289</v>
      </c>
      <c r="E1679" s="35" t="n">
        <v>2003</v>
      </c>
      <c r="F1679" s="38" t="n">
        <v>3738.6</v>
      </c>
      <c r="G1679" s="39" t="n">
        <v>1</v>
      </c>
      <c r="H1679" s="40" t="n">
        <v>220</v>
      </c>
    </row>
    <row r="1680" s="33" customFormat="true" ht="14.25" hidden="false" customHeight="false" outlineLevel="0" collapsed="false">
      <c r="A1680" s="46" t="n">
        <f aca="false">A1679+1</f>
        <v>1675</v>
      </c>
      <c r="B1680" s="35" t="s">
        <v>1342</v>
      </c>
      <c r="C1680" s="35" t="str">
        <f aca="false">"0014206"</f>
        <v>0014206</v>
      </c>
      <c r="D1680" s="37" t="s">
        <v>1377</v>
      </c>
      <c r="E1680" s="35" t="n">
        <v>2004</v>
      </c>
      <c r="F1680" s="38" t="n">
        <v>1481152.99</v>
      </c>
      <c r="G1680" s="39" t="n">
        <v>1</v>
      </c>
      <c r="H1680" s="40" t="n">
        <v>123300</v>
      </c>
    </row>
    <row r="1681" s="33" customFormat="true" ht="14.25" hidden="false" customHeight="false" outlineLevel="0" collapsed="false">
      <c r="A1681" s="34" t="n">
        <f aca="false">A1680+1</f>
        <v>1676</v>
      </c>
      <c r="B1681" s="35" t="s">
        <v>1342</v>
      </c>
      <c r="C1681" s="35" t="str">
        <f aca="false">"0021628"</f>
        <v>0021628</v>
      </c>
      <c r="D1681" s="37" t="s">
        <v>114</v>
      </c>
      <c r="E1681" s="35" t="n">
        <v>1980</v>
      </c>
      <c r="F1681" s="38" t="n">
        <v>1975.67</v>
      </c>
      <c r="G1681" s="39" t="n">
        <v>1</v>
      </c>
      <c r="H1681" s="40" t="n">
        <v>80</v>
      </c>
    </row>
    <row r="1682" s="33" customFormat="true" ht="14.25" hidden="false" customHeight="false" outlineLevel="0" collapsed="false">
      <c r="A1682" s="34" t="n">
        <f aca="false">A1681+1</f>
        <v>1677</v>
      </c>
      <c r="B1682" s="35" t="s">
        <v>1342</v>
      </c>
      <c r="C1682" s="35" t="str">
        <f aca="false">"0024452"</f>
        <v>0024452</v>
      </c>
      <c r="D1682" s="37" t="s">
        <v>1378</v>
      </c>
      <c r="E1682" s="35" t="n">
        <v>1984</v>
      </c>
      <c r="F1682" s="38" t="n">
        <v>3168.96</v>
      </c>
      <c r="G1682" s="39" t="n">
        <v>1</v>
      </c>
      <c r="H1682" s="40" t="n">
        <v>200</v>
      </c>
    </row>
    <row r="1683" s="33" customFormat="true" ht="14.25" hidden="false" customHeight="false" outlineLevel="0" collapsed="false">
      <c r="A1683" s="34" t="n">
        <f aca="false">A1682+1</f>
        <v>1678</v>
      </c>
      <c r="B1683" s="35" t="s">
        <v>1379</v>
      </c>
      <c r="C1683" s="35" t="str">
        <f aca="false">"0004083"</f>
        <v>0004083</v>
      </c>
      <c r="D1683" s="37" t="s">
        <v>112</v>
      </c>
      <c r="E1683" s="35" t="n">
        <v>1987</v>
      </c>
      <c r="F1683" s="38" t="n">
        <v>50.66</v>
      </c>
      <c r="G1683" s="39" t="n">
        <v>3</v>
      </c>
      <c r="H1683" s="40" t="n">
        <v>15</v>
      </c>
    </row>
    <row r="1684" s="33" customFormat="true" ht="14.25" hidden="false" customHeight="false" outlineLevel="0" collapsed="false">
      <c r="A1684" s="34" t="n">
        <f aca="false">A1683+1</f>
        <v>1679</v>
      </c>
      <c r="B1684" s="35" t="s">
        <v>1379</v>
      </c>
      <c r="C1684" s="35" t="str">
        <f aca="false">"0004376"</f>
        <v>0004376</v>
      </c>
      <c r="D1684" s="37" t="s">
        <v>1380</v>
      </c>
      <c r="E1684" s="35" t="n">
        <v>1977</v>
      </c>
      <c r="F1684" s="38" t="n">
        <f aca="false">48851.49*1.2</f>
        <v>58621.788</v>
      </c>
      <c r="G1684" s="39" t="n">
        <v>1</v>
      </c>
      <c r="H1684" s="40" t="n">
        <v>2250</v>
      </c>
    </row>
    <row r="1685" s="33" customFormat="true" ht="14.25" hidden="false" customHeight="false" outlineLevel="0" collapsed="false">
      <c r="A1685" s="34" t="n">
        <f aca="false">A1684+1</f>
        <v>1680</v>
      </c>
      <c r="B1685" s="35" t="s">
        <v>1379</v>
      </c>
      <c r="C1685" s="35" t="str">
        <f aca="false">"0005648"</f>
        <v>0005648</v>
      </c>
      <c r="D1685" s="37" t="s">
        <v>301</v>
      </c>
      <c r="E1685" s="35" t="n">
        <v>1987</v>
      </c>
      <c r="F1685" s="38" t="n">
        <v>28.14</v>
      </c>
      <c r="G1685" s="39" t="n">
        <v>1</v>
      </c>
      <c r="H1685" s="40" t="n">
        <v>5</v>
      </c>
    </row>
    <row r="1686" s="33" customFormat="true" ht="14.25" hidden="false" customHeight="false" outlineLevel="0" collapsed="false">
      <c r="A1686" s="46" t="n">
        <f aca="false">A1685+1</f>
        <v>1681</v>
      </c>
      <c r="B1686" s="35" t="s">
        <v>1379</v>
      </c>
      <c r="C1686" s="35" t="str">
        <f aca="false">"0006150"</f>
        <v>0006150</v>
      </c>
      <c r="D1686" s="37" t="s">
        <v>1381</v>
      </c>
      <c r="E1686" s="35" t="n">
        <v>1985</v>
      </c>
      <c r="F1686" s="38" t="n">
        <f aca="false">488514.87*1.2</f>
        <v>586217.844</v>
      </c>
      <c r="G1686" s="39" t="n">
        <v>2</v>
      </c>
      <c r="H1686" s="40" t="n">
        <v>56000</v>
      </c>
    </row>
    <row r="1687" s="33" customFormat="true" ht="14.25" hidden="false" customHeight="false" outlineLevel="0" collapsed="false">
      <c r="A1687" s="42" t="n">
        <f aca="false">A1686+1</f>
        <v>1682</v>
      </c>
      <c r="B1687" s="35" t="s">
        <v>1379</v>
      </c>
      <c r="C1687" s="35" t="str">
        <f aca="false">"0006589"</f>
        <v>0006589</v>
      </c>
      <c r="D1687" s="37" t="s">
        <v>1382</v>
      </c>
      <c r="E1687" s="35" t="n">
        <v>1986</v>
      </c>
      <c r="F1687" s="38" t="n">
        <f aca="false">3175341.05*1.2</f>
        <v>3810409.26</v>
      </c>
      <c r="G1687" s="39" t="n">
        <v>1</v>
      </c>
      <c r="H1687" s="40" t="n">
        <v>185340</v>
      </c>
    </row>
    <row r="1688" s="33" customFormat="true" ht="14.25" hidden="false" customHeight="false" outlineLevel="0" collapsed="false">
      <c r="A1688" s="34" t="n">
        <f aca="false">A1687+1</f>
        <v>1683</v>
      </c>
      <c r="B1688" s="35" t="s">
        <v>1379</v>
      </c>
      <c r="C1688" s="35" t="str">
        <f aca="false">"0007275"</f>
        <v>0007275</v>
      </c>
      <c r="D1688" s="37" t="s">
        <v>152</v>
      </c>
      <c r="E1688" s="35" t="n">
        <v>1987</v>
      </c>
      <c r="F1688" s="38" t="n">
        <v>73.17</v>
      </c>
      <c r="G1688" s="39" t="n">
        <v>1</v>
      </c>
      <c r="H1688" s="40" t="n">
        <v>5</v>
      </c>
    </row>
    <row r="1689" s="33" customFormat="true" ht="14.25" hidden="false" customHeight="false" outlineLevel="0" collapsed="false">
      <c r="A1689" s="46" t="n">
        <f aca="false">A1688+1</f>
        <v>1684</v>
      </c>
      <c r="B1689" s="35" t="s">
        <v>1379</v>
      </c>
      <c r="C1689" s="35" t="str">
        <f aca="false">"0007732"</f>
        <v>0007732</v>
      </c>
      <c r="D1689" s="37" t="s">
        <v>1383</v>
      </c>
      <c r="E1689" s="35" t="n">
        <v>1990</v>
      </c>
      <c r="F1689" s="38" t="n">
        <f aca="false">2686826.17*1.1</f>
        <v>2955508.787</v>
      </c>
      <c r="G1689" s="39" t="n">
        <v>1</v>
      </c>
      <c r="H1689" s="40" t="n">
        <v>155100</v>
      </c>
    </row>
    <row r="1690" s="33" customFormat="true" ht="14.25" hidden="false" customHeight="false" outlineLevel="0" collapsed="false">
      <c r="A1690" s="34" t="n">
        <f aca="false">A1689+1</f>
        <v>1685</v>
      </c>
      <c r="B1690" s="35" t="s">
        <v>1379</v>
      </c>
      <c r="C1690" s="35" t="str">
        <f aca="false">"0009697"</f>
        <v>0009697</v>
      </c>
      <c r="D1690" s="37" t="s">
        <v>1384</v>
      </c>
      <c r="E1690" s="35" t="n">
        <v>1997</v>
      </c>
      <c r="F1690" s="38" t="n">
        <f aca="false">10650*1.2</f>
        <v>12780</v>
      </c>
      <c r="G1690" s="39" t="n">
        <v>2</v>
      </c>
      <c r="H1690" s="40" t="n">
        <v>1260</v>
      </c>
    </row>
    <row r="1691" s="33" customFormat="true" ht="14.25" hidden="false" customHeight="false" outlineLevel="0" collapsed="false">
      <c r="A1691" s="46" t="n">
        <f aca="false">A1690+1</f>
        <v>1686</v>
      </c>
      <c r="B1691" s="35" t="s">
        <v>1379</v>
      </c>
      <c r="C1691" s="35" t="str">
        <f aca="false">"0011771"</f>
        <v>0011771</v>
      </c>
      <c r="D1691" s="37" t="s">
        <v>1385</v>
      </c>
      <c r="E1691" s="35" t="n">
        <v>2000</v>
      </c>
      <c r="F1691" s="38" t="n">
        <f aca="false">385793.66*1.1</f>
        <v>424373.026</v>
      </c>
      <c r="G1691" s="39" t="n">
        <v>1</v>
      </c>
      <c r="H1691" s="40" t="n">
        <v>26350</v>
      </c>
    </row>
    <row r="1692" s="33" customFormat="true" ht="14.25" hidden="false" customHeight="false" outlineLevel="0" collapsed="false">
      <c r="A1692" s="34" t="n">
        <f aca="false">A1691+1</f>
        <v>1687</v>
      </c>
      <c r="B1692" s="35" t="s">
        <v>1379</v>
      </c>
      <c r="C1692" s="35" t="str">
        <f aca="false">"0012462"</f>
        <v>0012462</v>
      </c>
      <c r="D1692" s="37" t="s">
        <v>191</v>
      </c>
      <c r="E1692" s="35" t="n">
        <v>1987</v>
      </c>
      <c r="F1692" s="38" t="n">
        <v>90.06</v>
      </c>
      <c r="G1692" s="39" t="n">
        <v>7</v>
      </c>
      <c r="H1692" s="40" t="n">
        <v>35</v>
      </c>
    </row>
    <row r="1693" s="33" customFormat="true" ht="14.25" hidden="false" customHeight="false" outlineLevel="0" collapsed="false">
      <c r="A1693" s="34" t="n">
        <f aca="false">A1692+1</f>
        <v>1688</v>
      </c>
      <c r="B1693" s="35" t="s">
        <v>1379</v>
      </c>
      <c r="C1693" s="35" t="str">
        <f aca="false">"0013152"</f>
        <v>0013152</v>
      </c>
      <c r="D1693" s="37" t="s">
        <v>1386</v>
      </c>
      <c r="E1693" s="35" t="n">
        <v>2003</v>
      </c>
      <c r="F1693" s="38" t="n">
        <f aca="false">69990.69*1.05</f>
        <v>73490.2245</v>
      </c>
      <c r="G1693" s="39" t="n">
        <v>1</v>
      </c>
      <c r="H1693" s="40" t="n">
        <v>5400</v>
      </c>
    </row>
    <row r="1694" s="33" customFormat="true" ht="14.25" hidden="false" customHeight="false" outlineLevel="0" collapsed="false">
      <c r="A1694" s="46" t="n">
        <f aca="false">A1693+1</f>
        <v>1689</v>
      </c>
      <c r="B1694" s="35" t="s">
        <v>1379</v>
      </c>
      <c r="C1694" s="35" t="str">
        <f aca="false">"0013743"</f>
        <v>0013743</v>
      </c>
      <c r="D1694" s="37" t="s">
        <v>1387</v>
      </c>
      <c r="E1694" s="35" t="n">
        <v>2004</v>
      </c>
      <c r="F1694" s="38" t="n">
        <f aca="false">5595927.55*1.1</f>
        <v>6155520.305</v>
      </c>
      <c r="G1694" s="39" t="n">
        <v>1</v>
      </c>
      <c r="H1694" s="40" t="n">
        <v>512150</v>
      </c>
    </row>
    <row r="1695" s="33" customFormat="true" ht="14.25" hidden="false" customHeight="false" outlineLevel="0" collapsed="false">
      <c r="A1695" s="34" t="n">
        <f aca="false">A1694+1</f>
        <v>1690</v>
      </c>
      <c r="B1695" s="35" t="s">
        <v>1379</v>
      </c>
      <c r="C1695" s="35" t="str">
        <f aca="false">"0013855"</f>
        <v>0013855</v>
      </c>
      <c r="D1695" s="37" t="s">
        <v>1388</v>
      </c>
      <c r="E1695" s="35" t="n">
        <v>2003</v>
      </c>
      <c r="F1695" s="38" t="n">
        <f aca="false">16150*1.1</f>
        <v>17765</v>
      </c>
      <c r="G1695" s="39" t="n">
        <v>3</v>
      </c>
      <c r="H1695" s="40" t="n">
        <v>3900</v>
      </c>
    </row>
    <row r="1696" s="33" customFormat="true" ht="14.25" hidden="false" customHeight="false" outlineLevel="0" collapsed="false">
      <c r="A1696" s="34" t="n">
        <f aca="false">A1695+1</f>
        <v>1691</v>
      </c>
      <c r="B1696" s="35" t="s">
        <v>1379</v>
      </c>
      <c r="C1696" s="35" t="str">
        <f aca="false">"0014017"</f>
        <v>0014017</v>
      </c>
      <c r="D1696" s="37" t="s">
        <v>1389</v>
      </c>
      <c r="E1696" s="35" t="n">
        <v>2004</v>
      </c>
      <c r="F1696" s="38" t="n">
        <v>874</v>
      </c>
      <c r="G1696" s="39" t="n">
        <v>1</v>
      </c>
      <c r="H1696" s="40" t="n">
        <v>50</v>
      </c>
    </row>
    <row r="1697" s="33" customFormat="true" ht="14.25" hidden="false" customHeight="false" outlineLevel="0" collapsed="false">
      <c r="A1697" s="34" t="n">
        <f aca="false">A1696+1</f>
        <v>1692</v>
      </c>
      <c r="B1697" s="35" t="s">
        <v>1379</v>
      </c>
      <c r="C1697" s="35" t="str">
        <f aca="false">"0014492"</f>
        <v>0014492</v>
      </c>
      <c r="D1697" s="37" t="s">
        <v>1390</v>
      </c>
      <c r="E1697" s="35" t="n">
        <v>2004</v>
      </c>
      <c r="F1697" s="38" t="n">
        <v>1250</v>
      </c>
      <c r="G1697" s="39" t="n">
        <v>1</v>
      </c>
      <c r="H1697" s="40" t="n">
        <v>75</v>
      </c>
    </row>
    <row r="1698" s="33" customFormat="true" ht="14.25" hidden="false" customHeight="false" outlineLevel="0" collapsed="false">
      <c r="A1698" s="34" t="n">
        <f aca="false">A1697+1</f>
        <v>1693</v>
      </c>
      <c r="B1698" s="35" t="s">
        <v>1379</v>
      </c>
      <c r="C1698" s="35" t="str">
        <f aca="false">"0015278"</f>
        <v>0015278</v>
      </c>
      <c r="D1698" s="37" t="s">
        <v>1391</v>
      </c>
      <c r="E1698" s="35" t="n">
        <v>2005</v>
      </c>
      <c r="F1698" s="38" t="n">
        <v>13804</v>
      </c>
      <c r="G1698" s="39" t="n">
        <v>1</v>
      </c>
      <c r="H1698" s="40" t="n">
        <v>1300</v>
      </c>
    </row>
    <row r="1699" s="33" customFormat="true" ht="14.25" hidden="false" customHeight="false" outlineLevel="0" collapsed="false">
      <c r="A1699" s="34" t="n">
        <f aca="false">A1698+1</f>
        <v>1694</v>
      </c>
      <c r="B1699" s="35" t="s">
        <v>1379</v>
      </c>
      <c r="C1699" s="35" t="str">
        <f aca="false">"0015447"</f>
        <v>0015447</v>
      </c>
      <c r="D1699" s="37" t="s">
        <v>1392</v>
      </c>
      <c r="E1699" s="35" t="n">
        <v>2005</v>
      </c>
      <c r="F1699" s="38" t="n">
        <v>7927.96</v>
      </c>
      <c r="G1699" s="39" t="n">
        <v>2</v>
      </c>
      <c r="H1699" s="40" t="n">
        <v>1200</v>
      </c>
    </row>
    <row r="1700" s="33" customFormat="true" ht="14.25" hidden="false" customHeight="false" outlineLevel="0" collapsed="false">
      <c r="A1700" s="34" t="n">
        <f aca="false">A1699+1</f>
        <v>1695</v>
      </c>
      <c r="B1700" s="35" t="s">
        <v>1379</v>
      </c>
      <c r="C1700" s="35" t="str">
        <f aca="false">"0015785"</f>
        <v>0015785</v>
      </c>
      <c r="D1700" s="37" t="s">
        <v>1393</v>
      </c>
      <c r="E1700" s="35" t="n">
        <v>2006</v>
      </c>
      <c r="F1700" s="38" t="n">
        <v>15126</v>
      </c>
      <c r="G1700" s="39" t="n">
        <v>1</v>
      </c>
      <c r="H1700" s="40" t="n">
        <v>1300</v>
      </c>
    </row>
    <row r="1701" s="33" customFormat="true" ht="14.25" hidden="false" customHeight="false" outlineLevel="0" collapsed="false">
      <c r="A1701" s="34" t="n">
        <f aca="false">A1700+1</f>
        <v>1696</v>
      </c>
      <c r="B1701" s="35" t="s">
        <v>1379</v>
      </c>
      <c r="C1701" s="35" t="str">
        <f aca="false">"0015862"</f>
        <v>0015862</v>
      </c>
      <c r="D1701" s="37" t="s">
        <v>1394</v>
      </c>
      <c r="E1701" s="35" t="n">
        <v>2006</v>
      </c>
      <c r="F1701" s="38" t="n">
        <v>15558.63</v>
      </c>
      <c r="G1701" s="39" t="n">
        <v>2</v>
      </c>
      <c r="H1701" s="40" t="n">
        <v>3200</v>
      </c>
    </row>
    <row r="1702" s="33" customFormat="true" ht="14.25" hidden="false" customHeight="false" outlineLevel="0" collapsed="false">
      <c r="A1702" s="34" t="n">
        <f aca="false">A1701+1</f>
        <v>1697</v>
      </c>
      <c r="B1702" s="35" t="s">
        <v>1379</v>
      </c>
      <c r="C1702" s="35" t="str">
        <f aca="false">"0016935"</f>
        <v>0016935</v>
      </c>
      <c r="D1702" s="37" t="s">
        <v>1395</v>
      </c>
      <c r="E1702" s="35" t="n">
        <v>1987</v>
      </c>
      <c r="F1702" s="38" t="n">
        <f aca="false">4885.71*1.2</f>
        <v>5862.852</v>
      </c>
      <c r="G1702" s="39" t="n">
        <v>3</v>
      </c>
      <c r="H1702" s="40" t="n">
        <v>900</v>
      </c>
    </row>
    <row r="1703" s="33" customFormat="true" ht="14.25" hidden="false" customHeight="false" outlineLevel="0" collapsed="false">
      <c r="A1703" s="34" t="n">
        <f aca="false">A1702+1</f>
        <v>1698</v>
      </c>
      <c r="B1703" s="35" t="s">
        <v>1379</v>
      </c>
      <c r="C1703" s="35" t="str">
        <f aca="false">"0016938"</f>
        <v>0016938</v>
      </c>
      <c r="D1703" s="37" t="s">
        <v>1396</v>
      </c>
      <c r="E1703" s="35" t="n">
        <v>1987</v>
      </c>
      <c r="F1703" s="38" t="n">
        <f aca="false">9771.42</f>
        <v>9771.42</v>
      </c>
      <c r="G1703" s="39" t="n">
        <v>1</v>
      </c>
      <c r="H1703" s="40" t="n">
        <v>500</v>
      </c>
    </row>
    <row r="1704" s="33" customFormat="true" ht="14.25" hidden="false" customHeight="false" outlineLevel="0" collapsed="false">
      <c r="A1704" s="34" t="n">
        <f aca="false">A1703+1</f>
        <v>1699</v>
      </c>
      <c r="B1704" s="35" t="s">
        <v>1379</v>
      </c>
      <c r="C1704" s="35" t="str">
        <f aca="false">"0016939"</f>
        <v>0016939</v>
      </c>
      <c r="D1704" s="37" t="s">
        <v>1396</v>
      </c>
      <c r="E1704" s="35" t="n">
        <v>1987</v>
      </c>
      <c r="F1704" s="38" t="n">
        <f aca="false">9771.42</f>
        <v>9771.42</v>
      </c>
      <c r="G1704" s="39" t="n">
        <v>1</v>
      </c>
      <c r="H1704" s="40" t="n">
        <v>500</v>
      </c>
    </row>
    <row r="1705" s="33" customFormat="true" ht="14.25" hidden="false" customHeight="false" outlineLevel="0" collapsed="false">
      <c r="A1705" s="34" t="n">
        <f aca="false">A1704+1</f>
        <v>1700</v>
      </c>
      <c r="B1705" s="35" t="s">
        <v>1379</v>
      </c>
      <c r="C1705" s="35" t="str">
        <f aca="false">"0016941"</f>
        <v>0016941</v>
      </c>
      <c r="D1705" s="37" t="s">
        <v>1397</v>
      </c>
      <c r="E1705" s="35" t="n">
        <v>1987</v>
      </c>
      <c r="F1705" s="38" t="n">
        <f aca="false">12214.28</f>
        <v>12214.28</v>
      </c>
      <c r="G1705" s="39" t="n">
        <v>1</v>
      </c>
      <c r="H1705" s="40" t="n">
        <v>610</v>
      </c>
    </row>
    <row r="1706" s="33" customFormat="true" ht="14.25" hidden="false" customHeight="false" outlineLevel="0" collapsed="false">
      <c r="A1706" s="34" t="n">
        <f aca="false">A1705+1</f>
        <v>1701</v>
      </c>
      <c r="B1706" s="35" t="s">
        <v>1379</v>
      </c>
      <c r="C1706" s="35" t="str">
        <f aca="false">"0016943"</f>
        <v>0016943</v>
      </c>
      <c r="D1706" s="37" t="s">
        <v>1398</v>
      </c>
      <c r="E1706" s="35" t="n">
        <v>1987</v>
      </c>
      <c r="F1706" s="38" t="n">
        <f aca="false">4885.71</f>
        <v>4885.71</v>
      </c>
      <c r="G1706" s="39" t="n">
        <v>2</v>
      </c>
      <c r="H1706" s="40" t="n">
        <v>480</v>
      </c>
    </row>
    <row r="1707" s="33" customFormat="true" ht="14.25" hidden="false" customHeight="false" outlineLevel="0" collapsed="false">
      <c r="A1707" s="34" t="n">
        <f aca="false">A1706+1</f>
        <v>1702</v>
      </c>
      <c r="B1707" s="35" t="s">
        <v>1379</v>
      </c>
      <c r="C1707" s="35" t="str">
        <f aca="false">"0016961"</f>
        <v>0016961</v>
      </c>
      <c r="D1707" s="37" t="s">
        <v>1399</v>
      </c>
      <c r="E1707" s="35" t="n">
        <v>1987</v>
      </c>
      <c r="F1707" s="38" t="n">
        <f aca="false">3600*7.5</f>
        <v>27000</v>
      </c>
      <c r="G1707" s="39" t="n">
        <v>2</v>
      </c>
      <c r="H1707" s="40" t="n">
        <v>2700</v>
      </c>
    </row>
    <row r="1708" s="33" customFormat="true" ht="14.25" hidden="false" customHeight="false" outlineLevel="0" collapsed="false">
      <c r="A1708" s="34" t="n">
        <f aca="false">A1707+1</f>
        <v>1703</v>
      </c>
      <c r="B1708" s="35" t="s">
        <v>1379</v>
      </c>
      <c r="C1708" s="35" t="str">
        <f aca="false">"0016966"</f>
        <v>0016966</v>
      </c>
      <c r="D1708" s="37" t="s">
        <v>1400</v>
      </c>
      <c r="E1708" s="35" t="n">
        <v>1987</v>
      </c>
      <c r="F1708" s="38" t="n">
        <f aca="false">4885.71*1.2</f>
        <v>5862.852</v>
      </c>
      <c r="G1708" s="39" t="n">
        <v>3</v>
      </c>
      <c r="H1708" s="40" t="n">
        <v>870</v>
      </c>
    </row>
    <row r="1709" s="33" customFormat="true" ht="14.25" hidden="false" customHeight="false" outlineLevel="0" collapsed="false">
      <c r="A1709" s="34" t="n">
        <f aca="false">A1708+1</f>
        <v>1704</v>
      </c>
      <c r="B1709" s="35" t="s">
        <v>1379</v>
      </c>
      <c r="C1709" s="35" t="str">
        <f aca="false">"0016969"</f>
        <v>0016969</v>
      </c>
      <c r="D1709" s="37" t="s">
        <v>1401</v>
      </c>
      <c r="E1709" s="35" t="n">
        <v>1987</v>
      </c>
      <c r="F1709" s="38" t="n">
        <f aca="false">4885.71*1.2</f>
        <v>5862.852</v>
      </c>
      <c r="G1709" s="39" t="n">
        <v>1</v>
      </c>
      <c r="H1709" s="40" t="n">
        <v>290</v>
      </c>
    </row>
    <row r="1710" s="33" customFormat="true" ht="14.25" hidden="false" customHeight="false" outlineLevel="0" collapsed="false">
      <c r="A1710" s="34" t="n">
        <f aca="false">A1709+1</f>
        <v>1705</v>
      </c>
      <c r="B1710" s="35" t="s">
        <v>1379</v>
      </c>
      <c r="C1710" s="35" t="str">
        <f aca="false">"0016970"</f>
        <v>0016970</v>
      </c>
      <c r="D1710" s="37" t="s">
        <v>1402</v>
      </c>
      <c r="E1710" s="35" t="n">
        <v>1987</v>
      </c>
      <c r="F1710" s="38" t="n">
        <f aca="false">4885.71*1.2</f>
        <v>5862.852</v>
      </c>
      <c r="G1710" s="39" t="n">
        <v>1</v>
      </c>
      <c r="H1710" s="40" t="n">
        <v>290</v>
      </c>
    </row>
    <row r="1711" s="33" customFormat="true" ht="14.25" hidden="false" customHeight="false" outlineLevel="0" collapsed="false">
      <c r="A1711" s="34" t="n">
        <f aca="false">A1710+1</f>
        <v>1706</v>
      </c>
      <c r="B1711" s="35" t="s">
        <v>1379</v>
      </c>
      <c r="C1711" s="35" t="str">
        <f aca="false">"0016996"</f>
        <v>0016996</v>
      </c>
      <c r="D1711" s="37" t="s">
        <v>1403</v>
      </c>
      <c r="E1711" s="35" t="n">
        <v>1987</v>
      </c>
      <c r="F1711" s="38" t="n">
        <f aca="false">4885.71*1.2</f>
        <v>5862.852</v>
      </c>
      <c r="G1711" s="39" t="n">
        <v>1</v>
      </c>
      <c r="H1711" s="40" t="n">
        <v>300</v>
      </c>
    </row>
    <row r="1712" s="33" customFormat="true" ht="14.25" hidden="false" customHeight="false" outlineLevel="0" collapsed="false">
      <c r="A1712" s="34" t="n">
        <f aca="false">A1711+1</f>
        <v>1707</v>
      </c>
      <c r="B1712" s="35" t="s">
        <v>1379</v>
      </c>
      <c r="C1712" s="35" t="str">
        <f aca="false">"0016997"</f>
        <v>0016997</v>
      </c>
      <c r="D1712" s="37" t="s">
        <v>1404</v>
      </c>
      <c r="E1712" s="35" t="n">
        <v>1987</v>
      </c>
      <c r="F1712" s="38" t="n">
        <f aca="false">4885.71*1.2</f>
        <v>5862.852</v>
      </c>
      <c r="G1712" s="39" t="n">
        <v>1</v>
      </c>
      <c r="H1712" s="40" t="n">
        <v>300</v>
      </c>
    </row>
    <row r="1713" s="33" customFormat="true" ht="14.25" hidden="false" customHeight="false" outlineLevel="0" collapsed="false">
      <c r="A1713" s="34" t="n">
        <f aca="false">A1712+1</f>
        <v>1708</v>
      </c>
      <c r="B1713" s="35" t="s">
        <v>1379</v>
      </c>
      <c r="C1713" s="35" t="str">
        <f aca="false">"0017264"</f>
        <v>0017264</v>
      </c>
      <c r="D1713" s="37" t="s">
        <v>1405</v>
      </c>
      <c r="E1713" s="35" t="n">
        <v>1987</v>
      </c>
      <c r="F1713" s="38" t="n">
        <f aca="false">24422.93*1.2</f>
        <v>29307.516</v>
      </c>
      <c r="G1713" s="39" t="n">
        <v>1</v>
      </c>
      <c r="H1713" s="40" t="n">
        <v>1450</v>
      </c>
    </row>
    <row r="1714" s="33" customFormat="true" ht="14.25" hidden="false" customHeight="false" outlineLevel="0" collapsed="false">
      <c r="A1714" s="34" t="n">
        <f aca="false">A1713+1</f>
        <v>1709</v>
      </c>
      <c r="B1714" s="35" t="s">
        <v>1379</v>
      </c>
      <c r="C1714" s="35" t="str">
        <f aca="false">"0017265"</f>
        <v>0017265</v>
      </c>
      <c r="D1714" s="37" t="s">
        <v>1406</v>
      </c>
      <c r="E1714" s="35" t="n">
        <v>1987</v>
      </c>
      <c r="F1714" s="38" t="n">
        <f aca="false">2442.86*1.2</f>
        <v>2931.432</v>
      </c>
      <c r="G1714" s="39" t="n">
        <v>1</v>
      </c>
      <c r="H1714" s="40" t="n">
        <v>145</v>
      </c>
    </row>
    <row r="1715" s="33" customFormat="true" ht="14.25" hidden="false" customHeight="false" outlineLevel="0" collapsed="false">
      <c r="A1715" s="34" t="n">
        <f aca="false">A1714+1</f>
        <v>1710</v>
      </c>
      <c r="B1715" s="35" t="s">
        <v>1379</v>
      </c>
      <c r="C1715" s="35" t="str">
        <f aca="false">"0017266"</f>
        <v>0017266</v>
      </c>
      <c r="D1715" s="37" t="s">
        <v>1407</v>
      </c>
      <c r="E1715" s="35" t="n">
        <v>1987</v>
      </c>
      <c r="F1715" s="38" t="n">
        <f aca="false">4885.71*1.2</f>
        <v>5862.852</v>
      </c>
      <c r="G1715" s="39" t="n">
        <v>1</v>
      </c>
      <c r="H1715" s="40" t="n">
        <v>280</v>
      </c>
    </row>
    <row r="1716" s="33" customFormat="true" ht="14.25" hidden="false" customHeight="false" outlineLevel="0" collapsed="false">
      <c r="A1716" s="34" t="n">
        <f aca="false">A1715+1</f>
        <v>1711</v>
      </c>
      <c r="B1716" s="35" t="s">
        <v>1379</v>
      </c>
      <c r="C1716" s="35" t="str">
        <f aca="false">"0017273"</f>
        <v>0017273</v>
      </c>
      <c r="D1716" s="37" t="s">
        <v>1408</v>
      </c>
      <c r="E1716" s="35" t="n">
        <v>1987</v>
      </c>
      <c r="F1716" s="38" t="n">
        <f aca="false">48851.49*1.2</f>
        <v>58621.788</v>
      </c>
      <c r="G1716" s="39" t="n">
        <v>1</v>
      </c>
      <c r="H1716" s="40" t="n">
        <v>2910</v>
      </c>
    </row>
    <row r="1717" s="33" customFormat="true" ht="14.25" hidden="false" customHeight="false" outlineLevel="0" collapsed="false">
      <c r="A1717" s="34" t="n">
        <f aca="false">A1716+1</f>
        <v>1712</v>
      </c>
      <c r="B1717" s="35" t="s">
        <v>1379</v>
      </c>
      <c r="C1717" s="35" t="str">
        <f aca="false">"0017308"</f>
        <v>0017308</v>
      </c>
      <c r="D1717" s="37" t="s">
        <v>1409</v>
      </c>
      <c r="E1717" s="35" t="n">
        <v>1987</v>
      </c>
      <c r="F1717" s="38" t="n">
        <f aca="false">9281.73*1.2</f>
        <v>11138.076</v>
      </c>
      <c r="G1717" s="39" t="n">
        <v>1</v>
      </c>
      <c r="H1717" s="40" t="n">
        <v>550</v>
      </c>
    </row>
    <row r="1718" s="33" customFormat="true" ht="14.25" hidden="false" customHeight="false" outlineLevel="0" collapsed="false">
      <c r="A1718" s="34" t="n">
        <f aca="false">A1717+1</f>
        <v>1713</v>
      </c>
      <c r="B1718" s="35" t="s">
        <v>1379</v>
      </c>
      <c r="C1718" s="35" t="str">
        <f aca="false">"0017314"</f>
        <v>0017314</v>
      </c>
      <c r="D1718" s="37" t="s">
        <v>1410</v>
      </c>
      <c r="E1718" s="35" t="n">
        <v>1987</v>
      </c>
      <c r="F1718" s="38" t="n">
        <f aca="false">4885.71*1.2</f>
        <v>5862.852</v>
      </c>
      <c r="G1718" s="39" t="n">
        <v>1</v>
      </c>
      <c r="H1718" s="40" t="n">
        <v>290</v>
      </c>
    </row>
    <row r="1719" s="33" customFormat="true" ht="14.25" hidden="false" customHeight="false" outlineLevel="0" collapsed="false">
      <c r="A1719" s="34" t="n">
        <f aca="false">A1718+1</f>
        <v>1714</v>
      </c>
      <c r="B1719" s="35" t="s">
        <v>1379</v>
      </c>
      <c r="C1719" s="35" t="str">
        <f aca="false">"0017345"</f>
        <v>0017345</v>
      </c>
      <c r="D1719" s="37" t="s">
        <v>1285</v>
      </c>
      <c r="E1719" s="35" t="n">
        <v>1987</v>
      </c>
      <c r="F1719" s="38" t="n">
        <f aca="false">2442.86*1.2</f>
        <v>2931.432</v>
      </c>
      <c r="G1719" s="39" t="n">
        <v>11</v>
      </c>
      <c r="H1719" s="40" t="n">
        <v>1595</v>
      </c>
    </row>
    <row r="1720" s="33" customFormat="true" ht="14.25" hidden="false" customHeight="false" outlineLevel="0" collapsed="false">
      <c r="A1720" s="34" t="n">
        <f aca="false">A1719+1</f>
        <v>1715</v>
      </c>
      <c r="B1720" s="35" t="s">
        <v>1379</v>
      </c>
      <c r="C1720" s="35" t="str">
        <f aca="false">"0017356"</f>
        <v>0017356</v>
      </c>
      <c r="D1720" s="37" t="s">
        <v>1411</v>
      </c>
      <c r="E1720" s="35" t="n">
        <v>1987</v>
      </c>
      <c r="F1720" s="38" t="n">
        <f aca="false">3422.25*1.2</f>
        <v>4106.7</v>
      </c>
      <c r="G1720" s="39" t="n">
        <v>7</v>
      </c>
      <c r="H1720" s="40" t="n">
        <v>1400</v>
      </c>
    </row>
    <row r="1721" s="33" customFormat="true" ht="14.25" hidden="false" customHeight="false" outlineLevel="0" collapsed="false">
      <c r="A1721" s="34" t="n">
        <f aca="false">A1720+1</f>
        <v>1716</v>
      </c>
      <c r="B1721" s="35" t="s">
        <v>1379</v>
      </c>
      <c r="C1721" s="35" t="str">
        <f aca="false">"0017363"</f>
        <v>0017363</v>
      </c>
      <c r="D1721" s="37" t="s">
        <v>1412</v>
      </c>
      <c r="E1721" s="35" t="n">
        <v>1987</v>
      </c>
      <c r="F1721" s="38" t="n">
        <f aca="false">3422.25*1.2</f>
        <v>4106.7</v>
      </c>
      <c r="G1721" s="39" t="n">
        <v>9</v>
      </c>
      <c r="H1721" s="40" t="n">
        <v>1800</v>
      </c>
    </row>
    <row r="1722" s="33" customFormat="true" ht="14.25" hidden="false" customHeight="false" outlineLevel="0" collapsed="false">
      <c r="A1722" s="34" t="n">
        <f aca="false">A1721+1</f>
        <v>1717</v>
      </c>
      <c r="B1722" s="35" t="s">
        <v>1379</v>
      </c>
      <c r="C1722" s="35" t="str">
        <f aca="false">"0017437"</f>
        <v>0017437</v>
      </c>
      <c r="D1722" s="37" t="s">
        <v>1413</v>
      </c>
      <c r="E1722" s="35" t="n">
        <v>1987</v>
      </c>
      <c r="F1722" s="38" t="n">
        <f aca="false">4885.71*1.2</f>
        <v>5862.852</v>
      </c>
      <c r="G1722" s="39" t="n">
        <v>1</v>
      </c>
      <c r="H1722" s="40" t="n">
        <v>300</v>
      </c>
    </row>
    <row r="1723" s="33" customFormat="true" ht="14.25" hidden="false" customHeight="false" outlineLevel="0" collapsed="false">
      <c r="A1723" s="34" t="n">
        <f aca="false">A1722+1</f>
        <v>1718</v>
      </c>
      <c r="B1723" s="35" t="s">
        <v>1379</v>
      </c>
      <c r="C1723" s="35" t="str">
        <f aca="false">"0017447"</f>
        <v>0017447</v>
      </c>
      <c r="D1723" s="37" t="s">
        <v>1414</v>
      </c>
      <c r="E1723" s="35" t="n">
        <v>1987</v>
      </c>
      <c r="F1723" s="38" t="n">
        <f aca="false">4885.71*1.2</f>
        <v>5862.852</v>
      </c>
      <c r="G1723" s="39" t="n">
        <v>1</v>
      </c>
      <c r="H1723" s="40" t="n">
        <v>290</v>
      </c>
    </row>
    <row r="1724" s="33" customFormat="true" ht="14.25" hidden="false" customHeight="false" outlineLevel="0" collapsed="false">
      <c r="A1724" s="34" t="n">
        <f aca="false">A1723+1</f>
        <v>1719</v>
      </c>
      <c r="B1724" s="35" t="s">
        <v>1379</v>
      </c>
      <c r="C1724" s="35" t="str">
        <f aca="false">"0017449"</f>
        <v>0017449</v>
      </c>
      <c r="D1724" s="37" t="s">
        <v>1415</v>
      </c>
      <c r="E1724" s="35" t="n">
        <v>1987</v>
      </c>
      <c r="F1724" s="38" t="n">
        <f aca="false">4885.71*1.2</f>
        <v>5862.852</v>
      </c>
      <c r="G1724" s="39" t="n">
        <v>1</v>
      </c>
      <c r="H1724" s="40" t="n">
        <v>290</v>
      </c>
    </row>
    <row r="1725" s="33" customFormat="true" ht="14.25" hidden="false" customHeight="false" outlineLevel="0" collapsed="false">
      <c r="A1725" s="34" t="n">
        <f aca="false">A1724+1</f>
        <v>1720</v>
      </c>
      <c r="B1725" s="35" t="s">
        <v>1379</v>
      </c>
      <c r="C1725" s="35" t="str">
        <f aca="false">"0017453"</f>
        <v>0017453</v>
      </c>
      <c r="D1725" s="37" t="s">
        <v>1416</v>
      </c>
      <c r="E1725" s="35" t="n">
        <v>1987</v>
      </c>
      <c r="F1725" s="38" t="n">
        <f aca="false">4885.71*1.2</f>
        <v>5862.852</v>
      </c>
      <c r="G1725" s="39" t="n">
        <v>1</v>
      </c>
      <c r="H1725" s="40" t="n">
        <v>290</v>
      </c>
    </row>
    <row r="1726" s="33" customFormat="true" ht="14.25" hidden="false" customHeight="false" outlineLevel="0" collapsed="false">
      <c r="A1726" s="34" t="n">
        <f aca="false">A1725+1</f>
        <v>1721</v>
      </c>
      <c r="B1726" s="35" t="s">
        <v>1379</v>
      </c>
      <c r="C1726" s="35" t="str">
        <f aca="false">"0017494"</f>
        <v>0017494</v>
      </c>
      <c r="D1726" s="37" t="s">
        <v>1400</v>
      </c>
      <c r="E1726" s="35" t="n">
        <v>1987</v>
      </c>
      <c r="F1726" s="38" t="n">
        <f aca="false">4885.71*1.2</f>
        <v>5862.852</v>
      </c>
      <c r="G1726" s="39" t="n">
        <v>1</v>
      </c>
      <c r="H1726" s="40" t="n">
        <v>290</v>
      </c>
    </row>
    <row r="1727" s="33" customFormat="true" ht="14.25" hidden="false" customHeight="false" outlineLevel="0" collapsed="false">
      <c r="A1727" s="34" t="n">
        <f aca="false">A1726+1</f>
        <v>1722</v>
      </c>
      <c r="B1727" s="35" t="s">
        <v>1379</v>
      </c>
      <c r="C1727" s="35" t="str">
        <f aca="false">"0034873"</f>
        <v>0034873</v>
      </c>
      <c r="D1727" s="37" t="s">
        <v>1417</v>
      </c>
      <c r="E1727" s="35" t="n">
        <v>2006</v>
      </c>
      <c r="F1727" s="38" t="n">
        <v>5520</v>
      </c>
      <c r="G1727" s="39" t="n">
        <v>1</v>
      </c>
      <c r="H1727" s="40" t="n">
        <v>340</v>
      </c>
    </row>
    <row r="1728" s="33" customFormat="true" ht="14.25" hidden="false" customHeight="false" outlineLevel="0" collapsed="false">
      <c r="A1728" s="34" t="n">
        <f aca="false">A1727+1</f>
        <v>1723</v>
      </c>
      <c r="B1728" s="35" t="s">
        <v>1379</v>
      </c>
      <c r="C1728" s="35" t="str">
        <f aca="false">"0034979"</f>
        <v>0034979</v>
      </c>
      <c r="D1728" s="37" t="s">
        <v>1418</v>
      </c>
      <c r="E1728" s="35" t="n">
        <v>2007</v>
      </c>
      <c r="F1728" s="38" t="n">
        <v>3663</v>
      </c>
      <c r="G1728" s="39" t="n">
        <v>8</v>
      </c>
      <c r="H1728" s="40" t="n">
        <v>2720</v>
      </c>
    </row>
    <row r="1729" s="33" customFormat="true" ht="14.25" hidden="false" customHeight="false" outlineLevel="0" collapsed="false">
      <c r="A1729" s="34" t="n">
        <f aca="false">A1728+1</f>
        <v>1724</v>
      </c>
      <c r="B1729" s="35" t="s">
        <v>1379</v>
      </c>
      <c r="C1729" s="35" t="str">
        <f aca="false">"0036462"</f>
        <v>0036462</v>
      </c>
      <c r="D1729" s="37" t="s">
        <v>1419</v>
      </c>
      <c r="E1729" s="35" t="n">
        <v>2007</v>
      </c>
      <c r="F1729" s="38" t="n">
        <v>2400</v>
      </c>
      <c r="G1729" s="39" t="n">
        <v>2</v>
      </c>
      <c r="H1729" s="40" t="n">
        <v>540</v>
      </c>
    </row>
    <row r="1730" s="33" customFormat="true" ht="14.25" hidden="false" customHeight="false" outlineLevel="0" collapsed="false">
      <c r="A1730" s="34" t="n">
        <f aca="false">A1729+1</f>
        <v>1725</v>
      </c>
      <c r="B1730" s="35" t="s">
        <v>1379</v>
      </c>
      <c r="C1730" s="35" t="str">
        <f aca="false">"0036464"</f>
        <v>0036464</v>
      </c>
      <c r="D1730" s="37" t="s">
        <v>1419</v>
      </c>
      <c r="E1730" s="35" t="n">
        <v>2007</v>
      </c>
      <c r="F1730" s="38" t="n">
        <v>2760</v>
      </c>
      <c r="G1730" s="39" t="n">
        <v>6</v>
      </c>
      <c r="H1730" s="40" t="n">
        <v>1860</v>
      </c>
    </row>
    <row r="1731" s="33" customFormat="true" ht="14.25" hidden="false" customHeight="false" outlineLevel="0" collapsed="false">
      <c r="A1731" s="34" t="n">
        <f aca="false">A1730+1</f>
        <v>1726</v>
      </c>
      <c r="B1731" s="35" t="s">
        <v>1379</v>
      </c>
      <c r="C1731" s="35" t="str">
        <f aca="false">"0036470"</f>
        <v>0036470</v>
      </c>
      <c r="D1731" s="37" t="s">
        <v>1420</v>
      </c>
      <c r="E1731" s="35" t="n">
        <v>2007</v>
      </c>
      <c r="F1731" s="38" t="n">
        <v>140297.19</v>
      </c>
      <c r="G1731" s="39" t="n">
        <v>1</v>
      </c>
      <c r="H1731" s="40" t="n">
        <v>15715</v>
      </c>
    </row>
    <row r="1732" s="33" customFormat="true" ht="14.25" hidden="false" customHeight="false" outlineLevel="0" collapsed="false">
      <c r="A1732" s="34" t="n">
        <f aca="false">A1731+1</f>
        <v>1727</v>
      </c>
      <c r="B1732" s="35" t="s">
        <v>1379</v>
      </c>
      <c r="C1732" s="35" t="str">
        <f aca="false">"0036472"</f>
        <v>0036472</v>
      </c>
      <c r="D1732" s="37" t="s">
        <v>1421</v>
      </c>
      <c r="E1732" s="35" t="n">
        <v>2007</v>
      </c>
      <c r="F1732" s="38" t="n">
        <v>2450</v>
      </c>
      <c r="G1732" s="39" t="n">
        <v>6</v>
      </c>
      <c r="H1732" s="40" t="n">
        <v>1650</v>
      </c>
    </row>
    <row r="1733" s="33" customFormat="true" ht="14.25" hidden="false" customHeight="false" outlineLevel="0" collapsed="false">
      <c r="A1733" s="34" t="n">
        <f aca="false">A1732+1</f>
        <v>1728</v>
      </c>
      <c r="B1733" s="35" t="s">
        <v>1379</v>
      </c>
      <c r="C1733" s="35" t="str">
        <f aca="false">"0037323"</f>
        <v>0037323</v>
      </c>
      <c r="D1733" s="37" t="s">
        <v>1422</v>
      </c>
      <c r="E1733" s="35" t="n">
        <v>2008</v>
      </c>
      <c r="F1733" s="38" t="n">
        <v>25185</v>
      </c>
      <c r="G1733" s="39" t="n">
        <v>1</v>
      </c>
      <c r="H1733" s="40" t="n">
        <v>3060</v>
      </c>
    </row>
    <row r="1734" s="33" customFormat="true" ht="14.25" hidden="false" customHeight="false" outlineLevel="0" collapsed="false">
      <c r="A1734" s="34" t="n">
        <f aca="false">A1733+1</f>
        <v>1729</v>
      </c>
      <c r="B1734" s="35" t="s">
        <v>1379</v>
      </c>
      <c r="C1734" s="35" t="str">
        <f aca="false">"0622702"</f>
        <v>0622702</v>
      </c>
      <c r="D1734" s="37" t="s">
        <v>1299</v>
      </c>
      <c r="E1734" s="35" t="n">
        <v>2008</v>
      </c>
      <c r="F1734" s="38" t="n">
        <v>880</v>
      </c>
      <c r="G1734" s="39" t="n">
        <v>1</v>
      </c>
      <c r="H1734" s="40" t="n">
        <v>70</v>
      </c>
    </row>
    <row r="1735" s="33" customFormat="true" ht="14.25" hidden="false" customHeight="false" outlineLevel="0" collapsed="false">
      <c r="A1735" s="42" t="n">
        <f aca="false">A1734+1</f>
        <v>1730</v>
      </c>
      <c r="B1735" s="35" t="s">
        <v>1379</v>
      </c>
      <c r="C1735" s="35" t="str">
        <f aca="false">"0037936"</f>
        <v>0037936</v>
      </c>
      <c r="D1735" s="37" t="s">
        <v>1423</v>
      </c>
      <c r="E1735" s="35" t="n">
        <v>2008</v>
      </c>
      <c r="F1735" s="38" t="n">
        <v>527</v>
      </c>
      <c r="G1735" s="39" t="n">
        <v>1</v>
      </c>
      <c r="H1735" s="40" t="n">
        <v>50</v>
      </c>
    </row>
    <row r="1736" s="33" customFormat="true" ht="14.25" hidden="false" customHeight="false" outlineLevel="0" collapsed="false">
      <c r="A1736" s="34" t="n">
        <f aca="false">A1735+1</f>
        <v>1731</v>
      </c>
      <c r="B1736" s="35" t="s">
        <v>1379</v>
      </c>
      <c r="C1736" s="35" t="str">
        <f aca="false">"0038465"</f>
        <v>0038465</v>
      </c>
      <c r="D1736" s="37" t="s">
        <v>1424</v>
      </c>
      <c r="E1736" s="35" t="n">
        <v>2008</v>
      </c>
      <c r="F1736" s="38" t="n">
        <v>8461.44</v>
      </c>
      <c r="G1736" s="39" t="n">
        <v>2</v>
      </c>
      <c r="H1736" s="40" t="n">
        <v>1730</v>
      </c>
    </row>
    <row r="1737" s="33" customFormat="true" ht="14.25" hidden="false" customHeight="false" outlineLevel="0" collapsed="false">
      <c r="A1737" s="34" t="n">
        <f aca="false">A1736+1</f>
        <v>1732</v>
      </c>
      <c r="B1737" s="35" t="s">
        <v>1379</v>
      </c>
      <c r="C1737" s="35" t="str">
        <f aca="false">"0040801"</f>
        <v>0040801</v>
      </c>
      <c r="D1737" s="37" t="s">
        <v>1425</v>
      </c>
      <c r="E1737" s="35" t="n">
        <v>2010</v>
      </c>
      <c r="F1737" s="38" t="n">
        <v>8910</v>
      </c>
      <c r="G1737" s="39" t="n">
        <v>1</v>
      </c>
      <c r="H1737" s="40" t="n">
        <v>2100</v>
      </c>
    </row>
    <row r="1738" s="33" customFormat="true" ht="14.25" hidden="false" customHeight="false" outlineLevel="0" collapsed="false">
      <c r="A1738" s="34" t="n">
        <f aca="false">A1737+1</f>
        <v>1733</v>
      </c>
      <c r="B1738" s="35" t="s">
        <v>1379</v>
      </c>
      <c r="C1738" s="35" t="str">
        <f aca="false">"0041684"</f>
        <v>0041684</v>
      </c>
      <c r="D1738" s="37" t="s">
        <v>1426</v>
      </c>
      <c r="E1738" s="35" t="n">
        <v>2011</v>
      </c>
      <c r="F1738" s="38" t="n">
        <f aca="false">4561.11*1.05</f>
        <v>4789.1655</v>
      </c>
      <c r="G1738" s="39" t="n">
        <v>1</v>
      </c>
      <c r="H1738" s="40" t="n">
        <v>950</v>
      </c>
    </row>
    <row r="1739" s="33" customFormat="true" ht="14.25" hidden="false" customHeight="false" outlineLevel="0" collapsed="false">
      <c r="A1739" s="34" t="n">
        <f aca="false">A1738+1</f>
        <v>1734</v>
      </c>
      <c r="B1739" s="35" t="s">
        <v>1379</v>
      </c>
      <c r="C1739" s="35" t="str">
        <f aca="false">"0041686"</f>
        <v>0041686</v>
      </c>
      <c r="D1739" s="37" t="s">
        <v>1427</v>
      </c>
      <c r="E1739" s="35" t="n">
        <v>2011</v>
      </c>
      <c r="F1739" s="38" t="n">
        <f aca="false">6000*7.5</f>
        <v>45000</v>
      </c>
      <c r="G1739" s="39" t="n">
        <v>1</v>
      </c>
      <c r="H1739" s="40" t="n">
        <v>8800</v>
      </c>
    </row>
    <row r="1740" s="33" customFormat="true" ht="14.25" hidden="false" customHeight="false" outlineLevel="0" collapsed="false">
      <c r="A1740" s="34" t="n">
        <f aca="false">A1739+1</f>
        <v>1735</v>
      </c>
      <c r="B1740" s="35" t="s">
        <v>1379</v>
      </c>
      <c r="C1740" s="35" t="str">
        <f aca="false">"0041688"</f>
        <v>0041688</v>
      </c>
      <c r="D1740" s="37" t="s">
        <v>1428</v>
      </c>
      <c r="E1740" s="35" t="n">
        <v>2011</v>
      </c>
      <c r="F1740" s="38" t="n">
        <f aca="false">8500*7.5</f>
        <v>63750</v>
      </c>
      <c r="G1740" s="39" t="n">
        <v>1</v>
      </c>
      <c r="H1740" s="40" t="n">
        <v>12450</v>
      </c>
    </row>
    <row r="1741" s="33" customFormat="true" ht="14.25" hidden="false" customHeight="false" outlineLevel="0" collapsed="false">
      <c r="A1741" s="34" t="n">
        <f aca="false">A1740+1</f>
        <v>1736</v>
      </c>
      <c r="B1741" s="35" t="s">
        <v>1379</v>
      </c>
      <c r="C1741" s="35" t="str">
        <f aca="false">"0041689"</f>
        <v>0041689</v>
      </c>
      <c r="D1741" s="37" t="s">
        <v>1429</v>
      </c>
      <c r="E1741" s="35" t="n">
        <v>2011</v>
      </c>
      <c r="F1741" s="38" t="n">
        <f aca="false">9400*7.5</f>
        <v>70500</v>
      </c>
      <c r="G1741" s="39" t="n">
        <v>1</v>
      </c>
      <c r="H1741" s="40" t="n">
        <v>13760</v>
      </c>
    </row>
    <row r="1742" s="33" customFormat="true" ht="14.25" hidden="false" customHeight="false" outlineLevel="0" collapsed="false">
      <c r="A1742" s="34" t="n">
        <f aca="false">A1741+1</f>
        <v>1737</v>
      </c>
      <c r="B1742" s="35" t="s">
        <v>1379</v>
      </c>
      <c r="C1742" s="35" t="str">
        <f aca="false">"0041690"</f>
        <v>0041690</v>
      </c>
      <c r="D1742" s="37" t="s">
        <v>1430</v>
      </c>
      <c r="E1742" s="35" t="n">
        <v>2011</v>
      </c>
      <c r="F1742" s="38" t="n">
        <f aca="false">15850*7.5</f>
        <v>118875</v>
      </c>
      <c r="G1742" s="39" t="n">
        <v>1</v>
      </c>
      <c r="H1742" s="40" t="n">
        <v>23200</v>
      </c>
    </row>
    <row r="1743" s="33" customFormat="true" ht="14.25" hidden="false" customHeight="false" outlineLevel="0" collapsed="false">
      <c r="A1743" s="34" t="n">
        <f aca="false">A1742+1</f>
        <v>1738</v>
      </c>
      <c r="B1743" s="35" t="s">
        <v>1379</v>
      </c>
      <c r="C1743" s="35" t="str">
        <f aca="false">"0041692"</f>
        <v>0041692</v>
      </c>
      <c r="D1743" s="37" t="s">
        <v>1431</v>
      </c>
      <c r="E1743" s="35" t="n">
        <v>2011</v>
      </c>
      <c r="F1743" s="38" t="n">
        <v>4061.12</v>
      </c>
      <c r="G1743" s="39" t="n">
        <v>1</v>
      </c>
      <c r="H1743" s="40" t="n">
        <v>800</v>
      </c>
    </row>
    <row r="1744" s="33" customFormat="true" ht="14.25" hidden="false" customHeight="false" outlineLevel="0" collapsed="false">
      <c r="A1744" s="34" t="n">
        <f aca="false">A1743+1</f>
        <v>1739</v>
      </c>
      <c r="B1744" s="35" t="s">
        <v>1379</v>
      </c>
      <c r="C1744" s="35" t="str">
        <f aca="false">"0042795"</f>
        <v>0042795</v>
      </c>
      <c r="D1744" s="37" t="s">
        <v>1432</v>
      </c>
      <c r="E1744" s="35" t="n">
        <v>2013</v>
      </c>
      <c r="F1744" s="38" t="n">
        <v>3000</v>
      </c>
      <c r="G1744" s="39" t="n">
        <v>2</v>
      </c>
      <c r="H1744" s="40" t="n">
        <v>1340</v>
      </c>
    </row>
    <row r="1745" s="33" customFormat="true" ht="14.25" hidden="false" customHeight="false" outlineLevel="0" collapsed="false">
      <c r="A1745" s="46" t="n">
        <f aca="false">A1744+1</f>
        <v>1740</v>
      </c>
      <c r="B1745" s="35" t="s">
        <v>1379</v>
      </c>
      <c r="C1745" s="35" t="str">
        <f aca="false">"0042799"</f>
        <v>0042799</v>
      </c>
      <c r="D1745" s="37" t="s">
        <v>1433</v>
      </c>
      <c r="E1745" s="35" t="n">
        <v>2013</v>
      </c>
      <c r="F1745" s="38" t="n">
        <v>400132.34</v>
      </c>
      <c r="G1745" s="39" t="n">
        <v>1</v>
      </c>
      <c r="H1745" s="40" t="n">
        <v>114000</v>
      </c>
    </row>
    <row r="1746" s="33" customFormat="true" ht="14.25" hidden="false" customHeight="false" outlineLevel="0" collapsed="false">
      <c r="A1746" s="34" t="n">
        <f aca="false">A1745+1</f>
        <v>1741</v>
      </c>
      <c r="B1746" s="35" t="s">
        <v>1379</v>
      </c>
      <c r="C1746" s="35" t="str">
        <f aca="false">"0042946"</f>
        <v>0042946</v>
      </c>
      <c r="D1746" s="37" t="s">
        <v>1434</v>
      </c>
      <c r="E1746" s="35" t="n">
        <v>2013</v>
      </c>
      <c r="F1746" s="38" t="n">
        <v>5243.7</v>
      </c>
      <c r="G1746" s="39" t="n">
        <v>1</v>
      </c>
      <c r="H1746" s="40" t="n">
        <v>1500</v>
      </c>
    </row>
    <row r="1747" s="33" customFormat="true" ht="14.25" hidden="false" customHeight="false" outlineLevel="0" collapsed="false">
      <c r="A1747" s="34" t="n">
        <f aca="false">A1746+1</f>
        <v>1742</v>
      </c>
      <c r="B1747" s="35" t="s">
        <v>1379</v>
      </c>
      <c r="C1747" s="35" t="str">
        <f aca="false">"0049550"</f>
        <v>0049550</v>
      </c>
      <c r="D1747" s="37" t="s">
        <v>942</v>
      </c>
      <c r="E1747" s="35" t="n">
        <v>2017</v>
      </c>
      <c r="F1747" s="38" t="n">
        <v>3575</v>
      </c>
      <c r="G1747" s="39" t="n">
        <v>1</v>
      </c>
      <c r="H1747" s="40" t="n">
        <v>2000</v>
      </c>
    </row>
    <row r="1748" s="33" customFormat="true" ht="14.25" hidden="false" customHeight="false" outlineLevel="0" collapsed="false">
      <c r="A1748" s="34" t="n">
        <f aca="false">A1747+1</f>
        <v>1743</v>
      </c>
      <c r="B1748" s="35" t="s">
        <v>1379</v>
      </c>
      <c r="C1748" s="35" t="str">
        <f aca="false">"0049552"</f>
        <v>0049552</v>
      </c>
      <c r="D1748" s="37" t="s">
        <v>864</v>
      </c>
      <c r="E1748" s="35" t="n">
        <v>2017</v>
      </c>
      <c r="F1748" s="38" t="n">
        <v>4486.48</v>
      </c>
      <c r="G1748" s="39" t="n">
        <v>1</v>
      </c>
      <c r="H1748" s="40" t="n">
        <v>2400</v>
      </c>
    </row>
    <row r="1749" s="33" customFormat="true" ht="14.25" hidden="false" customHeight="false" outlineLevel="0" collapsed="false">
      <c r="A1749" s="34" t="n">
        <f aca="false">A1748+1</f>
        <v>1744</v>
      </c>
      <c r="B1749" s="35" t="s">
        <v>1379</v>
      </c>
      <c r="C1749" s="35" t="str">
        <f aca="false">"0049750"</f>
        <v>0049750</v>
      </c>
      <c r="D1749" s="37" t="s">
        <v>827</v>
      </c>
      <c r="E1749" s="35" t="n">
        <v>2017</v>
      </c>
      <c r="F1749" s="38" t="n">
        <v>5162.96</v>
      </c>
      <c r="G1749" s="39" t="n">
        <v>1</v>
      </c>
      <c r="H1749" s="40" t="n">
        <v>2730</v>
      </c>
    </row>
    <row r="1750" s="33" customFormat="true" ht="14.25" hidden="false" customHeight="false" outlineLevel="0" collapsed="false">
      <c r="A1750" s="34" t="n">
        <f aca="false">A1749+1</f>
        <v>1745</v>
      </c>
      <c r="B1750" s="35" t="s">
        <v>1379</v>
      </c>
      <c r="C1750" s="35" t="str">
        <f aca="false">"0049819"</f>
        <v>0049819</v>
      </c>
      <c r="D1750" s="37" t="s">
        <v>181</v>
      </c>
      <c r="E1750" s="35" t="n">
        <v>2018</v>
      </c>
      <c r="F1750" s="38" t="n">
        <v>821.44</v>
      </c>
      <c r="G1750" s="39" t="n">
        <v>1</v>
      </c>
      <c r="H1750" s="40" t="n">
        <v>500</v>
      </c>
    </row>
    <row r="1751" s="33" customFormat="true" ht="14.25" hidden="false" customHeight="false" outlineLevel="0" collapsed="false">
      <c r="A1751" s="34" t="n">
        <f aca="false">A1750+1</f>
        <v>1746</v>
      </c>
      <c r="B1751" s="35" t="s">
        <v>1379</v>
      </c>
      <c r="C1751" s="35" t="str">
        <f aca="false">"0049982"</f>
        <v>0049982</v>
      </c>
      <c r="D1751" s="37" t="s">
        <v>1435</v>
      </c>
      <c r="E1751" s="35" t="n">
        <v>2018</v>
      </c>
      <c r="F1751" s="38" t="n">
        <v>3620</v>
      </c>
      <c r="G1751" s="39" t="n">
        <v>1</v>
      </c>
      <c r="H1751" s="40" t="n">
        <v>2370</v>
      </c>
    </row>
    <row r="1752" s="33" customFormat="true" ht="14.25" hidden="false" customHeight="false" outlineLevel="0" collapsed="false">
      <c r="A1752" s="34" t="n">
        <f aca="false">A1751+1</f>
        <v>1747</v>
      </c>
      <c r="B1752" s="35" t="s">
        <v>1436</v>
      </c>
      <c r="C1752" s="35" t="str">
        <f aca="false">"0000327"</f>
        <v>0000327</v>
      </c>
      <c r="D1752" s="37" t="s">
        <v>1347</v>
      </c>
      <c r="E1752" s="35" t="n">
        <v>1987</v>
      </c>
      <c r="F1752" s="38" t="n">
        <f aca="false">7328.57*1.2</f>
        <v>8794.284</v>
      </c>
      <c r="G1752" s="39" t="n">
        <v>1</v>
      </c>
      <c r="H1752" s="40" t="n">
        <v>435</v>
      </c>
    </row>
    <row r="1753" s="33" customFormat="true" ht="14.25" hidden="false" customHeight="false" outlineLevel="0" collapsed="false">
      <c r="A1753" s="34" t="n">
        <f aca="false">A1752+1</f>
        <v>1748</v>
      </c>
      <c r="B1753" s="35" t="s">
        <v>1436</v>
      </c>
      <c r="C1753" s="35" t="str">
        <f aca="false">"0000403"</f>
        <v>0000403</v>
      </c>
      <c r="D1753" s="37" t="s">
        <v>1437</v>
      </c>
      <c r="E1753" s="35" t="n">
        <v>1987</v>
      </c>
      <c r="F1753" s="38" t="n">
        <f aca="false">24422.93*1.2</f>
        <v>29307.516</v>
      </c>
      <c r="G1753" s="39" t="n">
        <v>1</v>
      </c>
      <c r="H1753" s="40" t="n">
        <v>1450</v>
      </c>
    </row>
    <row r="1754" s="33" customFormat="true" ht="14.25" hidden="false" customHeight="false" outlineLevel="0" collapsed="false">
      <c r="A1754" s="34" t="n">
        <f aca="false">A1753+1</f>
        <v>1749</v>
      </c>
      <c r="B1754" s="35" t="s">
        <v>1436</v>
      </c>
      <c r="C1754" s="35" t="str">
        <f aca="false">"0000438"</f>
        <v>0000438</v>
      </c>
      <c r="D1754" s="37" t="s">
        <v>1438</v>
      </c>
      <c r="E1754" s="35" t="n">
        <v>1987</v>
      </c>
      <c r="F1754" s="38" t="n">
        <f aca="false">48851.49*1.2</f>
        <v>58621.788</v>
      </c>
      <c r="G1754" s="39" t="n">
        <v>1</v>
      </c>
      <c r="H1754" s="40" t="n">
        <v>2910</v>
      </c>
    </row>
    <row r="1755" s="33" customFormat="true" ht="14.25" hidden="false" customHeight="false" outlineLevel="0" collapsed="false">
      <c r="A1755" s="34" t="n">
        <f aca="false">A1754+1</f>
        <v>1750</v>
      </c>
      <c r="B1755" s="35" t="s">
        <v>1436</v>
      </c>
      <c r="C1755" s="35" t="str">
        <f aca="false">"0000852"</f>
        <v>0000852</v>
      </c>
      <c r="D1755" s="37" t="s">
        <v>1439</v>
      </c>
      <c r="E1755" s="35" t="n">
        <v>1987</v>
      </c>
      <c r="F1755" s="38" t="n">
        <f aca="false">97702.97*1.2</f>
        <v>117243.564</v>
      </c>
      <c r="G1755" s="39" t="n">
        <v>1</v>
      </c>
      <c r="H1755" s="40" t="n">
        <v>6150</v>
      </c>
    </row>
    <row r="1756" s="33" customFormat="true" ht="14.25" hidden="false" customHeight="false" outlineLevel="0" collapsed="false">
      <c r="A1756" s="45" t="n">
        <f aca="false">A1755+1</f>
        <v>1751</v>
      </c>
      <c r="B1756" s="35" t="s">
        <v>1436</v>
      </c>
      <c r="C1756" s="35" t="str">
        <f aca="false">"0000923"</f>
        <v>0000923</v>
      </c>
      <c r="D1756" s="37" t="s">
        <v>1440</v>
      </c>
      <c r="E1756" s="35" t="n">
        <v>1949</v>
      </c>
      <c r="F1756" s="38" t="n">
        <f aca="false">2442574.36*1.4</f>
        <v>3419604.104</v>
      </c>
      <c r="G1756" s="39" t="n">
        <v>1</v>
      </c>
      <c r="H1756" s="40" t="n">
        <v>54700</v>
      </c>
    </row>
    <row r="1757" s="33" customFormat="true" ht="14.25" hidden="false" customHeight="false" outlineLevel="0" collapsed="false">
      <c r="A1757" s="45" t="n">
        <f aca="false">A1756+1</f>
        <v>1752</v>
      </c>
      <c r="B1757" s="35" t="s">
        <v>1436</v>
      </c>
      <c r="C1757" s="35" t="str">
        <f aca="false">"0001170"</f>
        <v>0001170</v>
      </c>
      <c r="D1757" s="37" t="s">
        <v>1441</v>
      </c>
      <c r="E1757" s="35" t="n">
        <v>1987</v>
      </c>
      <c r="F1757" s="38" t="n">
        <f aca="false">488514.87*1.2</f>
        <v>586217.844</v>
      </c>
      <c r="G1757" s="39" t="n">
        <v>1</v>
      </c>
      <c r="H1757" s="40" t="n">
        <v>30765</v>
      </c>
    </row>
    <row r="1758" s="33" customFormat="true" ht="14.25" hidden="false" customHeight="false" outlineLevel="0" collapsed="false">
      <c r="A1758" s="45" t="n">
        <f aca="false">A1757+1</f>
        <v>1753</v>
      </c>
      <c r="B1758" s="35" t="s">
        <v>1436</v>
      </c>
      <c r="C1758" s="35" t="str">
        <f aca="false">"0001174"</f>
        <v>0001174</v>
      </c>
      <c r="D1758" s="37" t="s">
        <v>1442</v>
      </c>
      <c r="E1758" s="35" t="n">
        <v>1949</v>
      </c>
      <c r="F1758" s="38" t="n">
        <f aca="false">2442574.36*1.4</f>
        <v>3419604.104</v>
      </c>
      <c r="G1758" s="39" t="n">
        <v>1</v>
      </c>
      <c r="H1758" s="40" t="n">
        <v>54700</v>
      </c>
    </row>
    <row r="1759" s="33" customFormat="true" ht="14.25" hidden="false" customHeight="false" outlineLevel="0" collapsed="false">
      <c r="A1759" s="45" t="n">
        <f aca="false">A1758+1</f>
        <v>1754</v>
      </c>
      <c r="B1759" s="35" t="s">
        <v>1436</v>
      </c>
      <c r="C1759" s="35" t="str">
        <f aca="false">"0001184"</f>
        <v>0001184</v>
      </c>
      <c r="D1759" s="37" t="s">
        <v>1443</v>
      </c>
      <c r="E1759" s="35" t="n">
        <v>1947</v>
      </c>
      <c r="F1759" s="38" t="n">
        <f aca="false">977029.75*1.4</f>
        <v>1367841.65</v>
      </c>
      <c r="G1759" s="39" t="n">
        <v>1</v>
      </c>
      <c r="H1759" s="40" t="n">
        <v>19260</v>
      </c>
    </row>
    <row r="1760" s="33" customFormat="true" ht="14.25" hidden="false" customHeight="false" outlineLevel="0" collapsed="false">
      <c r="A1760" s="34" t="n">
        <f aca="false">A1759+1</f>
        <v>1755</v>
      </c>
      <c r="B1760" s="35" t="s">
        <v>1436</v>
      </c>
      <c r="C1760" s="35" t="str">
        <f aca="false">"0001347"</f>
        <v>0001347</v>
      </c>
      <c r="D1760" s="37" t="s">
        <v>1444</v>
      </c>
      <c r="E1760" s="35" t="n">
        <v>1987</v>
      </c>
      <c r="F1760" s="38" t="n">
        <f aca="false">97702.97*1.2</f>
        <v>117243.564</v>
      </c>
      <c r="G1760" s="39" t="n">
        <v>1</v>
      </c>
      <c r="H1760" s="40" t="n">
        <v>6150</v>
      </c>
    </row>
    <row r="1761" s="33" customFormat="true" ht="14.25" hidden="false" customHeight="false" outlineLevel="0" collapsed="false">
      <c r="A1761" s="34" t="n">
        <f aca="false">A1760+1</f>
        <v>1756</v>
      </c>
      <c r="B1761" s="35" t="s">
        <v>1436</v>
      </c>
      <c r="C1761" s="35" t="str">
        <f aca="false">"0001364"</f>
        <v>0001364</v>
      </c>
      <c r="D1761" s="37" t="s">
        <v>1180</v>
      </c>
      <c r="E1761" s="35" t="n">
        <v>1987</v>
      </c>
      <c r="F1761" s="38" t="n">
        <f aca="false">97702.97*1.2</f>
        <v>117243.564</v>
      </c>
      <c r="G1761" s="39" t="n">
        <v>1</v>
      </c>
      <c r="H1761" s="40" t="n">
        <v>5820</v>
      </c>
    </row>
    <row r="1762" s="33" customFormat="true" ht="14.25" hidden="false" customHeight="false" outlineLevel="0" collapsed="false">
      <c r="A1762" s="34" t="n">
        <f aca="false">A1761+1</f>
        <v>1757</v>
      </c>
      <c r="B1762" s="35" t="s">
        <v>1436</v>
      </c>
      <c r="C1762" s="35" t="str">
        <f aca="false">"0001413"</f>
        <v>0001413</v>
      </c>
      <c r="D1762" s="37" t="s">
        <v>1445</v>
      </c>
      <c r="E1762" s="35" t="n">
        <v>1954</v>
      </c>
      <c r="F1762" s="38" t="n">
        <f aca="false">97702.97*1.3</f>
        <v>127013.861</v>
      </c>
      <c r="G1762" s="39" t="n">
        <v>1</v>
      </c>
      <c r="H1762" s="40" t="n">
        <v>2780</v>
      </c>
    </row>
    <row r="1763" s="33" customFormat="true" ht="14.25" hidden="false" customHeight="false" outlineLevel="0" collapsed="false">
      <c r="A1763" s="34" t="n">
        <f aca="false">A1762+1</f>
        <v>1758</v>
      </c>
      <c r="B1763" s="35" t="s">
        <v>1436</v>
      </c>
      <c r="C1763" s="35" t="str">
        <f aca="false">"0001447"</f>
        <v>0001447</v>
      </c>
      <c r="D1763" s="37" t="s">
        <v>1446</v>
      </c>
      <c r="E1763" s="35" t="n">
        <v>1987</v>
      </c>
      <c r="F1763" s="38" t="n">
        <v>14657.13</v>
      </c>
      <c r="G1763" s="39" t="n">
        <v>1</v>
      </c>
      <c r="H1763" s="40" t="n">
        <v>730</v>
      </c>
    </row>
    <row r="1764" s="33" customFormat="true" ht="14.25" hidden="false" customHeight="false" outlineLevel="0" collapsed="false">
      <c r="A1764" s="34" t="n">
        <f aca="false">A1763+1</f>
        <v>1759</v>
      </c>
      <c r="B1764" s="35" t="s">
        <v>1436</v>
      </c>
      <c r="C1764" s="35" t="str">
        <f aca="false">"0001473"</f>
        <v>0001473</v>
      </c>
      <c r="D1764" s="37" t="s">
        <v>1447</v>
      </c>
      <c r="E1764" s="35" t="n">
        <v>1987</v>
      </c>
      <c r="F1764" s="38" t="n">
        <v>146554.46</v>
      </c>
      <c r="G1764" s="39" t="n">
        <v>1</v>
      </c>
      <c r="H1764" s="40" t="n">
        <v>7270</v>
      </c>
    </row>
    <row r="1765" s="33" customFormat="true" ht="14.25" hidden="false" customHeight="false" outlineLevel="0" collapsed="false">
      <c r="A1765" s="46" t="n">
        <f aca="false">A1764+1</f>
        <v>1760</v>
      </c>
      <c r="B1765" s="35" t="s">
        <v>1436</v>
      </c>
      <c r="C1765" s="35" t="str">
        <f aca="false">"0001497"</f>
        <v>0001497</v>
      </c>
      <c r="D1765" s="37" t="s">
        <v>1448</v>
      </c>
      <c r="E1765" s="35" t="n">
        <v>1987</v>
      </c>
      <c r="F1765" s="38" t="n">
        <f aca="false">3419598.48*1.2</f>
        <v>4103518.176</v>
      </c>
      <c r="G1765" s="39" t="n">
        <v>1</v>
      </c>
      <c r="H1765" s="40" t="n">
        <v>203500</v>
      </c>
    </row>
    <row r="1766" s="33" customFormat="true" ht="14.25" hidden="false" customHeight="false" outlineLevel="0" collapsed="false">
      <c r="A1766" s="34" t="n">
        <f aca="false">A1765+1</f>
        <v>1761</v>
      </c>
      <c r="B1766" s="35" t="s">
        <v>1436</v>
      </c>
      <c r="C1766" s="35" t="str">
        <f aca="false">"0001747"</f>
        <v>0001747</v>
      </c>
      <c r="D1766" s="37" t="s">
        <v>1449</v>
      </c>
      <c r="E1766" s="35" t="n">
        <v>1987</v>
      </c>
      <c r="F1766" s="38" t="n">
        <f aca="false">97702.97*1.2</f>
        <v>117243.564</v>
      </c>
      <c r="G1766" s="39" t="n">
        <v>1</v>
      </c>
      <c r="H1766" s="40" t="n">
        <v>5820</v>
      </c>
    </row>
    <row r="1767" s="33" customFormat="true" ht="14.25" hidden="false" customHeight="false" outlineLevel="0" collapsed="false">
      <c r="A1767" s="34" t="n">
        <f aca="false">A1766+1</f>
        <v>1762</v>
      </c>
      <c r="B1767" s="35" t="s">
        <v>1436</v>
      </c>
      <c r="C1767" s="35" t="str">
        <f aca="false">"0001750"</f>
        <v>0001750</v>
      </c>
      <c r="D1767" s="37" t="s">
        <v>42</v>
      </c>
      <c r="E1767" s="35" t="n">
        <v>1987</v>
      </c>
      <c r="F1767" s="38" t="n">
        <v>56.29</v>
      </c>
      <c r="G1767" s="39" t="n">
        <v>1</v>
      </c>
      <c r="H1767" s="40" t="n">
        <v>5</v>
      </c>
    </row>
    <row r="1768" s="33" customFormat="true" ht="14.25" hidden="false" customHeight="false" outlineLevel="0" collapsed="false">
      <c r="A1768" s="34" t="n">
        <f aca="false">A1767+1</f>
        <v>1763</v>
      </c>
      <c r="B1768" s="35" t="s">
        <v>1436</v>
      </c>
      <c r="C1768" s="35" t="str">
        <f aca="false">"0001767"</f>
        <v>0001767</v>
      </c>
      <c r="D1768" s="37" t="s">
        <v>1450</v>
      </c>
      <c r="E1768" s="35" t="n">
        <v>1987</v>
      </c>
      <c r="F1768" s="38" t="n">
        <f aca="false">48851.49*1.2</f>
        <v>58621.788</v>
      </c>
      <c r="G1768" s="39" t="n">
        <v>1</v>
      </c>
      <c r="H1768" s="40" t="n">
        <v>2900</v>
      </c>
    </row>
    <row r="1769" s="33" customFormat="true" ht="14.25" hidden="false" customHeight="false" outlineLevel="0" collapsed="false">
      <c r="A1769" s="46" t="n">
        <f aca="false">A1768+1</f>
        <v>1764</v>
      </c>
      <c r="B1769" s="35" t="s">
        <v>1436</v>
      </c>
      <c r="C1769" s="35" t="str">
        <f aca="false">"0001792"</f>
        <v>0001792</v>
      </c>
      <c r="D1769" s="37" t="s">
        <v>1451</v>
      </c>
      <c r="E1769" s="35" t="n">
        <v>1987</v>
      </c>
      <c r="F1769" s="38" t="n">
        <f aca="false">2442574.36*1.2</f>
        <v>2931089.232</v>
      </c>
      <c r="G1769" s="39" t="n">
        <v>1</v>
      </c>
      <c r="H1769" s="40" t="n">
        <v>145380</v>
      </c>
    </row>
    <row r="1770" s="33" customFormat="true" ht="14.25" hidden="false" customHeight="false" outlineLevel="0" collapsed="false">
      <c r="A1770" s="34" t="n">
        <f aca="false">A1769+1</f>
        <v>1765</v>
      </c>
      <c r="B1770" s="35" t="s">
        <v>1436</v>
      </c>
      <c r="C1770" s="35" t="str">
        <f aca="false">"0001929"</f>
        <v>0001929</v>
      </c>
      <c r="D1770" s="37" t="s">
        <v>1452</v>
      </c>
      <c r="E1770" s="35" t="n">
        <v>1987</v>
      </c>
      <c r="F1770" s="38" t="n">
        <v>9771.42</v>
      </c>
      <c r="G1770" s="39" t="n">
        <v>1</v>
      </c>
      <c r="H1770" s="44" t="s">
        <v>121</v>
      </c>
    </row>
    <row r="1771" s="33" customFormat="true" ht="14.25" hidden="false" customHeight="false" outlineLevel="0" collapsed="false">
      <c r="A1771" s="34" t="n">
        <f aca="false">A1770+1</f>
        <v>1766</v>
      </c>
      <c r="B1771" s="35" t="s">
        <v>1436</v>
      </c>
      <c r="C1771" s="35" t="str">
        <f aca="false">"0002081"</f>
        <v>0002081</v>
      </c>
      <c r="D1771" s="37" t="s">
        <v>1453</v>
      </c>
      <c r="E1771" s="35" t="n">
        <v>1987</v>
      </c>
      <c r="F1771" s="38" t="n">
        <f aca="false">97702.97*1.2</f>
        <v>117243.564</v>
      </c>
      <c r="G1771" s="39" t="n">
        <v>1</v>
      </c>
      <c r="H1771" s="40" t="n">
        <v>6150</v>
      </c>
    </row>
    <row r="1772" s="33" customFormat="true" ht="14.25" hidden="false" customHeight="false" outlineLevel="0" collapsed="false">
      <c r="A1772" s="46" t="n">
        <f aca="false">A1771+1</f>
        <v>1767</v>
      </c>
      <c r="B1772" s="35" t="s">
        <v>1436</v>
      </c>
      <c r="C1772" s="35" t="str">
        <f aca="false">"0002116"</f>
        <v>0002116</v>
      </c>
      <c r="D1772" s="37" t="s">
        <v>1454</v>
      </c>
      <c r="E1772" s="35" t="n">
        <v>1987</v>
      </c>
      <c r="F1772" s="38" t="n">
        <f aca="false">1465544.62*1.2</f>
        <v>1758653.544</v>
      </c>
      <c r="G1772" s="39" t="n">
        <v>3</v>
      </c>
      <c r="H1772" s="40" t="n">
        <v>261900</v>
      </c>
    </row>
    <row r="1773" s="33" customFormat="true" ht="14.25" hidden="false" customHeight="false" outlineLevel="0" collapsed="false">
      <c r="A1773" s="46" t="n">
        <f aca="false">A1772+1</f>
        <v>1768</v>
      </c>
      <c r="B1773" s="35" t="s">
        <v>1436</v>
      </c>
      <c r="C1773" s="35" t="str">
        <f aca="false">"0002120"</f>
        <v>0002120</v>
      </c>
      <c r="D1773" s="37" t="s">
        <v>1455</v>
      </c>
      <c r="E1773" s="35" t="n">
        <v>1987</v>
      </c>
      <c r="F1773" s="38" t="n">
        <f aca="false">977029.75*1.2</f>
        <v>1172435.7</v>
      </c>
      <c r="G1773" s="39" t="n">
        <v>1</v>
      </c>
      <c r="H1773" s="40" t="n">
        <v>58150</v>
      </c>
    </row>
    <row r="1774" s="33" customFormat="true" ht="14.25" hidden="false" customHeight="false" outlineLevel="0" collapsed="false">
      <c r="A1774" s="34" t="n">
        <f aca="false">A1773+1</f>
        <v>1769</v>
      </c>
      <c r="B1774" s="35" t="s">
        <v>1436</v>
      </c>
      <c r="C1774" s="35" t="str">
        <f aca="false">"0002131"</f>
        <v>0002131</v>
      </c>
      <c r="D1774" s="37" t="s">
        <v>1456</v>
      </c>
      <c r="E1774" s="35" t="n">
        <v>1987</v>
      </c>
      <c r="F1774" s="38" t="n">
        <f aca="false">146554.46*1.2</f>
        <v>175865.352</v>
      </c>
      <c r="G1774" s="39" t="n">
        <v>1</v>
      </c>
      <c r="H1774" s="40" t="n">
        <v>8725</v>
      </c>
    </row>
    <row r="1775" s="33" customFormat="true" ht="14.25" hidden="false" customHeight="false" outlineLevel="0" collapsed="false">
      <c r="A1775" s="34" t="n">
        <f aca="false">A1774+1</f>
        <v>1770</v>
      </c>
      <c r="B1775" s="35" t="s">
        <v>1436</v>
      </c>
      <c r="C1775" s="35" t="str">
        <f aca="false">"0002157"</f>
        <v>0002157</v>
      </c>
      <c r="D1775" s="37" t="s">
        <v>1457</v>
      </c>
      <c r="E1775" s="35" t="n">
        <v>1987</v>
      </c>
      <c r="F1775" s="38" t="n">
        <f aca="false">48851.49*1.2</f>
        <v>58621.788</v>
      </c>
      <c r="G1775" s="39" t="n">
        <v>1</v>
      </c>
      <c r="H1775" s="40" t="n">
        <v>2910</v>
      </c>
    </row>
    <row r="1776" s="33" customFormat="true" ht="14.25" hidden="false" customHeight="false" outlineLevel="0" collapsed="false">
      <c r="A1776" s="34" t="n">
        <f aca="false">A1775+1</f>
        <v>1771</v>
      </c>
      <c r="B1776" s="35" t="s">
        <v>1436</v>
      </c>
      <c r="C1776" s="35" t="str">
        <f aca="false">"0002206"</f>
        <v>0002206</v>
      </c>
      <c r="D1776" s="37" t="s">
        <v>1431</v>
      </c>
      <c r="E1776" s="35" t="n">
        <v>1987</v>
      </c>
      <c r="F1776" s="38" t="n">
        <f aca="false">24422.93*1.2</f>
        <v>29307.516</v>
      </c>
      <c r="G1776" s="39" t="n">
        <v>1</v>
      </c>
      <c r="H1776" s="40" t="n">
        <v>1450</v>
      </c>
    </row>
    <row r="1777" s="33" customFormat="true" ht="14.25" hidden="false" customHeight="false" outlineLevel="0" collapsed="false">
      <c r="A1777" s="34" t="n">
        <f aca="false">A1776+1</f>
        <v>1772</v>
      </c>
      <c r="B1777" s="35" t="s">
        <v>1436</v>
      </c>
      <c r="C1777" s="35" t="str">
        <f aca="false">"0002250"</f>
        <v>0002250</v>
      </c>
      <c r="D1777" s="37" t="s">
        <v>1229</v>
      </c>
      <c r="E1777" s="35" t="n">
        <v>1987</v>
      </c>
      <c r="F1777" s="38" t="n">
        <f aca="false">73274.42*1.2</f>
        <v>87929.304</v>
      </c>
      <c r="G1777" s="39" t="n">
        <v>1</v>
      </c>
      <c r="H1777" s="40" t="n">
        <v>4615</v>
      </c>
    </row>
    <row r="1778" s="33" customFormat="true" ht="14.25" hidden="false" customHeight="false" outlineLevel="0" collapsed="false">
      <c r="A1778" s="46" t="n">
        <f aca="false">A1777+1</f>
        <v>1773</v>
      </c>
      <c r="B1778" s="35" t="s">
        <v>1436</v>
      </c>
      <c r="C1778" s="35" t="str">
        <f aca="false">"0002271"</f>
        <v>0002271</v>
      </c>
      <c r="D1778" s="37" t="s">
        <v>1458</v>
      </c>
      <c r="E1778" s="35" t="n">
        <v>1992</v>
      </c>
      <c r="F1778" s="38" t="n">
        <f aca="false">24425715.51*1.1</f>
        <v>26868287.061</v>
      </c>
      <c r="G1778" s="39" t="n">
        <v>1</v>
      </c>
      <c r="H1778" s="40" t="n">
        <v>1461650</v>
      </c>
    </row>
    <row r="1779" s="33" customFormat="true" ht="14.25" hidden="false" customHeight="false" outlineLevel="0" collapsed="false">
      <c r="A1779" s="34" t="n">
        <f aca="false">A1778+1</f>
        <v>1774</v>
      </c>
      <c r="B1779" s="35" t="s">
        <v>1436</v>
      </c>
      <c r="C1779" s="35" t="str">
        <f aca="false">"0002273"</f>
        <v>0002273</v>
      </c>
      <c r="D1779" s="37" t="s">
        <v>1459</v>
      </c>
      <c r="E1779" s="35" t="n">
        <v>1987</v>
      </c>
      <c r="F1779" s="38" t="n">
        <f aca="false">24422.93*1.2</f>
        <v>29307.516</v>
      </c>
      <c r="G1779" s="39" t="n">
        <v>1</v>
      </c>
      <c r="H1779" s="40" t="n">
        <v>1400</v>
      </c>
    </row>
    <row r="1780" s="33" customFormat="true" ht="14.25" hidden="false" customHeight="false" outlineLevel="0" collapsed="false">
      <c r="A1780" s="34" t="n">
        <f aca="false">A1779+1</f>
        <v>1775</v>
      </c>
      <c r="B1780" s="35" t="s">
        <v>1436</v>
      </c>
      <c r="C1780" s="35" t="str">
        <f aca="false">"0002300"</f>
        <v>0002300</v>
      </c>
      <c r="D1780" s="37" t="s">
        <v>1460</v>
      </c>
      <c r="E1780" s="35" t="n">
        <v>1963</v>
      </c>
      <c r="F1780" s="38" t="n">
        <f aca="false">244257.44*1.25</f>
        <v>305321.8</v>
      </c>
      <c r="G1780" s="39" t="n">
        <v>1</v>
      </c>
      <c r="H1780" s="40" t="n">
        <v>9000</v>
      </c>
    </row>
    <row r="1781" s="33" customFormat="true" ht="14.25" hidden="false" customHeight="false" outlineLevel="0" collapsed="false">
      <c r="A1781" s="34" t="n">
        <f aca="false">A1780+1</f>
        <v>1776</v>
      </c>
      <c r="B1781" s="35" t="s">
        <v>1436</v>
      </c>
      <c r="C1781" s="35" t="str">
        <f aca="false">"0002545"</f>
        <v>0002545</v>
      </c>
      <c r="D1781" s="37" t="s">
        <v>1461</v>
      </c>
      <c r="E1781" s="35" t="n">
        <v>1987</v>
      </c>
      <c r="F1781" s="38" t="n">
        <f aca="false">4885.71*1.2</f>
        <v>5862.852</v>
      </c>
      <c r="G1781" s="39" t="n">
        <v>1</v>
      </c>
      <c r="H1781" s="40" t="n">
        <v>300</v>
      </c>
    </row>
    <row r="1782" s="33" customFormat="true" ht="14.25" hidden="false" customHeight="false" outlineLevel="0" collapsed="false">
      <c r="A1782" s="34" t="n">
        <f aca="false">A1781+1</f>
        <v>1777</v>
      </c>
      <c r="B1782" s="35" t="s">
        <v>1436</v>
      </c>
      <c r="C1782" s="35" t="str">
        <f aca="false">"0002563"</f>
        <v>0002563</v>
      </c>
      <c r="D1782" s="37" t="s">
        <v>1462</v>
      </c>
      <c r="E1782" s="35" t="n">
        <v>1987</v>
      </c>
      <c r="F1782" s="38" t="n">
        <f aca="false">48851.49*1.2</f>
        <v>58621.788</v>
      </c>
      <c r="G1782" s="39" t="n">
        <v>3</v>
      </c>
      <c r="H1782" s="40" t="n">
        <v>8700</v>
      </c>
    </row>
    <row r="1783" s="33" customFormat="true" ht="14.25" hidden="false" customHeight="false" outlineLevel="0" collapsed="false">
      <c r="A1783" s="34" t="n">
        <f aca="false">A1782+1</f>
        <v>1778</v>
      </c>
      <c r="B1783" s="35" t="s">
        <v>1436</v>
      </c>
      <c r="C1783" s="35" t="str">
        <f aca="false">"0002646"</f>
        <v>0002646</v>
      </c>
      <c r="D1783" s="37" t="s">
        <v>1463</v>
      </c>
      <c r="E1783" s="35" t="n">
        <v>1987</v>
      </c>
      <c r="F1783" s="38" t="n">
        <f aca="false">9771.42*1.2</f>
        <v>11725.704</v>
      </c>
      <c r="G1783" s="39" t="n">
        <v>1</v>
      </c>
      <c r="H1783" s="44" t="s">
        <v>121</v>
      </c>
    </row>
    <row r="1784" s="33" customFormat="true" ht="14.25" hidden="false" customHeight="false" outlineLevel="0" collapsed="false">
      <c r="A1784" s="34" t="n">
        <f aca="false">A1783+1</f>
        <v>1779</v>
      </c>
      <c r="B1784" s="35" t="s">
        <v>1436</v>
      </c>
      <c r="C1784" s="35" t="str">
        <f aca="false">"0002708"</f>
        <v>0002708</v>
      </c>
      <c r="D1784" s="37" t="s">
        <v>1464</v>
      </c>
      <c r="E1784" s="35" t="n">
        <v>1987</v>
      </c>
      <c r="F1784" s="38" t="n">
        <v>48851.49</v>
      </c>
      <c r="G1784" s="39" t="n">
        <v>1</v>
      </c>
      <c r="H1784" s="40" t="n">
        <v>2420</v>
      </c>
    </row>
    <row r="1785" s="33" customFormat="true" ht="14.25" hidden="false" customHeight="false" outlineLevel="0" collapsed="false">
      <c r="A1785" s="34" t="n">
        <f aca="false">A1784+1</f>
        <v>1780</v>
      </c>
      <c r="B1785" s="35" t="s">
        <v>1436</v>
      </c>
      <c r="C1785" s="35" t="str">
        <f aca="false">"0002811"</f>
        <v>0002811</v>
      </c>
      <c r="D1785" s="37" t="s">
        <v>1465</v>
      </c>
      <c r="E1785" s="35" t="n">
        <v>1987</v>
      </c>
      <c r="F1785" s="38" t="n">
        <v>14657.13</v>
      </c>
      <c r="G1785" s="39" t="n">
        <v>1</v>
      </c>
      <c r="H1785" s="40" t="n">
        <v>730</v>
      </c>
    </row>
    <row r="1786" s="33" customFormat="true" ht="14.25" hidden="false" customHeight="false" outlineLevel="0" collapsed="false">
      <c r="A1786" s="46" t="n">
        <f aca="false">A1785+1</f>
        <v>1781</v>
      </c>
      <c r="B1786" s="35" t="s">
        <v>1436</v>
      </c>
      <c r="C1786" s="35" t="str">
        <f aca="false">"0002899"</f>
        <v>0002899</v>
      </c>
      <c r="D1786" s="37" t="s">
        <v>1466</v>
      </c>
      <c r="E1786" s="35" t="n">
        <v>1966</v>
      </c>
      <c r="F1786" s="38" t="n">
        <f aca="false">20000*7.5</f>
        <v>150000</v>
      </c>
      <c r="G1786" s="39" t="n">
        <v>1</v>
      </c>
      <c r="H1786" s="40" t="n">
        <v>4450</v>
      </c>
    </row>
    <row r="1787" s="33" customFormat="true" ht="14.25" hidden="false" customHeight="false" outlineLevel="0" collapsed="false">
      <c r="A1787" s="34" t="n">
        <f aca="false">A1786+1</f>
        <v>1782</v>
      </c>
      <c r="B1787" s="35" t="s">
        <v>1436</v>
      </c>
      <c r="C1787" s="35" t="str">
        <f aca="false">"0003078"</f>
        <v>0003078</v>
      </c>
      <c r="D1787" s="37" t="s">
        <v>1467</v>
      </c>
      <c r="E1787" s="35" t="n">
        <v>1987</v>
      </c>
      <c r="F1787" s="38" t="n">
        <f aca="false">48851.49*1.2</f>
        <v>58621.788</v>
      </c>
      <c r="G1787" s="39" t="n">
        <v>1</v>
      </c>
      <c r="H1787" s="40" t="n">
        <v>3100</v>
      </c>
    </row>
    <row r="1788" s="33" customFormat="true" ht="14.25" hidden="false" customHeight="false" outlineLevel="0" collapsed="false">
      <c r="A1788" s="34" t="n">
        <f aca="false">A1787+1</f>
        <v>1783</v>
      </c>
      <c r="B1788" s="35" t="s">
        <v>1436</v>
      </c>
      <c r="C1788" s="35" t="str">
        <f aca="false">"0003148"</f>
        <v>0003148</v>
      </c>
      <c r="D1788" s="37" t="s">
        <v>1468</v>
      </c>
      <c r="E1788" s="35" t="n">
        <v>1987</v>
      </c>
      <c r="F1788" s="38" t="n">
        <f aca="false">6360*7.5</f>
        <v>47700</v>
      </c>
      <c r="G1788" s="39" t="n">
        <v>1</v>
      </c>
      <c r="H1788" s="40" t="n">
        <v>2500</v>
      </c>
    </row>
    <row r="1789" s="33" customFormat="true" ht="14.25" hidden="false" customHeight="false" outlineLevel="0" collapsed="false">
      <c r="A1789" s="46" t="n">
        <f aca="false">A1788+1</f>
        <v>1784</v>
      </c>
      <c r="B1789" s="35" t="s">
        <v>1436</v>
      </c>
      <c r="C1789" s="35" t="str">
        <f aca="false">"0003151"</f>
        <v>0003151</v>
      </c>
      <c r="D1789" s="37" t="s">
        <v>1469</v>
      </c>
      <c r="E1789" s="35" t="n">
        <v>1969</v>
      </c>
      <c r="F1789" s="38" t="n">
        <f aca="false">39500*7.5</f>
        <v>296250</v>
      </c>
      <c r="G1789" s="39" t="n">
        <v>1</v>
      </c>
      <c r="H1789" s="40" t="n">
        <v>9600</v>
      </c>
    </row>
    <row r="1790" s="33" customFormat="true" ht="14.25" hidden="false" customHeight="false" outlineLevel="0" collapsed="false">
      <c r="A1790" s="34" t="n">
        <f aca="false">A1789+1</f>
        <v>1785</v>
      </c>
      <c r="B1790" s="35" t="s">
        <v>1436</v>
      </c>
      <c r="C1790" s="35" t="str">
        <f aca="false">"0003157"</f>
        <v>0003157</v>
      </c>
      <c r="D1790" s="37" t="s">
        <v>1470</v>
      </c>
      <c r="E1790" s="35" t="n">
        <v>1987</v>
      </c>
      <c r="F1790" s="38" t="n">
        <f aca="false">48851.49*1.2</f>
        <v>58621.788</v>
      </c>
      <c r="G1790" s="39" t="n">
        <v>1</v>
      </c>
      <c r="H1790" s="40" t="n">
        <v>2910</v>
      </c>
    </row>
    <row r="1791" s="33" customFormat="true" ht="14.25" hidden="false" customHeight="false" outlineLevel="0" collapsed="false">
      <c r="A1791" s="34" t="n">
        <f aca="false">A1790+1</f>
        <v>1786</v>
      </c>
      <c r="B1791" s="35" t="s">
        <v>1436</v>
      </c>
      <c r="C1791" s="35" t="str">
        <f aca="false">"0003228"</f>
        <v>0003228</v>
      </c>
      <c r="D1791" s="37" t="s">
        <v>1471</v>
      </c>
      <c r="E1791" s="35" t="n">
        <v>2003</v>
      </c>
      <c r="F1791" s="38" t="n">
        <v>1527.02</v>
      </c>
      <c r="G1791" s="39" t="n">
        <v>1</v>
      </c>
      <c r="H1791" s="40" t="n">
        <v>110</v>
      </c>
    </row>
    <row r="1792" s="33" customFormat="true" ht="14.25" hidden="false" customHeight="false" outlineLevel="0" collapsed="false">
      <c r="A1792" s="34" t="n">
        <f aca="false">A1791+1</f>
        <v>1787</v>
      </c>
      <c r="B1792" s="35" t="s">
        <v>1436</v>
      </c>
      <c r="C1792" s="35" t="str">
        <f aca="false">"0003243"</f>
        <v>0003243</v>
      </c>
      <c r="D1792" s="37" t="s">
        <v>1471</v>
      </c>
      <c r="E1792" s="35" t="n">
        <v>2003</v>
      </c>
      <c r="F1792" s="38" t="n">
        <v>1731.53</v>
      </c>
      <c r="G1792" s="39" t="n">
        <v>2</v>
      </c>
      <c r="H1792" s="40" t="n">
        <v>260</v>
      </c>
    </row>
    <row r="1793" s="33" customFormat="true" ht="14.25" hidden="false" customHeight="false" outlineLevel="0" collapsed="false">
      <c r="A1793" s="34" t="n">
        <f aca="false">A1792+1</f>
        <v>1788</v>
      </c>
      <c r="B1793" s="35" t="s">
        <v>1436</v>
      </c>
      <c r="C1793" s="35" t="str">
        <f aca="false">"0003336"</f>
        <v>0003336</v>
      </c>
      <c r="D1793" s="37" t="s">
        <v>1472</v>
      </c>
      <c r="E1793" s="35" t="n">
        <v>1987</v>
      </c>
      <c r="F1793" s="38" t="n">
        <f aca="false">1000*7.5</f>
        <v>7500</v>
      </c>
      <c r="G1793" s="39" t="n">
        <v>1</v>
      </c>
      <c r="H1793" s="40" t="n">
        <v>370</v>
      </c>
    </row>
    <row r="1794" s="33" customFormat="true" ht="14.25" hidden="false" customHeight="false" outlineLevel="0" collapsed="false">
      <c r="A1794" s="34" t="n">
        <f aca="false">A1793+1</f>
        <v>1789</v>
      </c>
      <c r="B1794" s="35" t="s">
        <v>1436</v>
      </c>
      <c r="C1794" s="35" t="str">
        <f aca="false">"0003356"</f>
        <v>0003356</v>
      </c>
      <c r="D1794" s="37" t="s">
        <v>1473</v>
      </c>
      <c r="E1794" s="35" t="n">
        <v>1987</v>
      </c>
      <c r="F1794" s="38" t="n">
        <f aca="false">48851.49*1.2</f>
        <v>58621.788</v>
      </c>
      <c r="G1794" s="39" t="n">
        <v>1</v>
      </c>
      <c r="H1794" s="40" t="n">
        <v>2910</v>
      </c>
    </row>
    <row r="1795" s="33" customFormat="true" ht="14.25" hidden="false" customHeight="false" outlineLevel="0" collapsed="false">
      <c r="A1795" s="34" t="n">
        <f aca="false">A1794+1</f>
        <v>1790</v>
      </c>
      <c r="B1795" s="35" t="s">
        <v>1436</v>
      </c>
      <c r="C1795" s="35" t="str">
        <f aca="false">"0003360"</f>
        <v>0003360</v>
      </c>
      <c r="D1795" s="37" t="s">
        <v>1474</v>
      </c>
      <c r="E1795" s="35" t="n">
        <v>1987</v>
      </c>
      <c r="F1795" s="38" t="n">
        <f aca="false">48851.49*1.2</f>
        <v>58621.788</v>
      </c>
      <c r="G1795" s="39" t="n">
        <v>1</v>
      </c>
      <c r="H1795" s="40" t="n">
        <v>2900</v>
      </c>
    </row>
    <row r="1796" s="33" customFormat="true" ht="14.25" hidden="false" customHeight="false" outlineLevel="0" collapsed="false">
      <c r="A1796" s="34" t="n">
        <f aca="false">A1795+1</f>
        <v>1791</v>
      </c>
      <c r="B1796" s="35" t="s">
        <v>1436</v>
      </c>
      <c r="C1796" s="35" t="str">
        <f aca="false">"0003364"</f>
        <v>0003364</v>
      </c>
      <c r="D1796" s="37" t="s">
        <v>1475</v>
      </c>
      <c r="E1796" s="35" t="n">
        <v>1987</v>
      </c>
      <c r="F1796" s="38" t="n">
        <f aca="false">9771.42*1.2</f>
        <v>11725.704</v>
      </c>
      <c r="G1796" s="39" t="n">
        <v>1</v>
      </c>
      <c r="H1796" s="40" t="n">
        <v>580</v>
      </c>
    </row>
    <row r="1797" s="33" customFormat="true" ht="14.25" hidden="false" customHeight="false" outlineLevel="0" collapsed="false">
      <c r="A1797" s="34" t="n">
        <f aca="false">A1796+1</f>
        <v>1792</v>
      </c>
      <c r="B1797" s="35" t="s">
        <v>1436</v>
      </c>
      <c r="C1797" s="35" t="str">
        <f aca="false">"0003442"</f>
        <v>0003442</v>
      </c>
      <c r="D1797" s="37" t="s">
        <v>1476</v>
      </c>
      <c r="E1797" s="35" t="n">
        <v>1987</v>
      </c>
      <c r="F1797" s="38" t="n">
        <f aca="false">24422.93*1.2</f>
        <v>29307.516</v>
      </c>
      <c r="G1797" s="39" t="n">
        <v>1</v>
      </c>
      <c r="H1797" s="40" t="n">
        <v>1450</v>
      </c>
    </row>
    <row r="1798" s="33" customFormat="true" ht="14.25" hidden="false" customHeight="false" outlineLevel="0" collapsed="false">
      <c r="A1798" s="34" t="n">
        <f aca="false">A1797+1</f>
        <v>1793</v>
      </c>
      <c r="B1798" s="35" t="s">
        <v>1436</v>
      </c>
      <c r="C1798" s="35" t="str">
        <f aca="false">"0003506"</f>
        <v>0003506</v>
      </c>
      <c r="D1798" s="37" t="s">
        <v>1477</v>
      </c>
      <c r="E1798" s="35" t="n">
        <v>1987</v>
      </c>
      <c r="F1798" s="38" t="n">
        <f aca="false">48851.49*1.2</f>
        <v>58621.788</v>
      </c>
      <c r="G1798" s="39" t="n">
        <v>1</v>
      </c>
      <c r="H1798" s="40" t="n">
        <v>2900</v>
      </c>
    </row>
    <row r="1799" s="33" customFormat="true" ht="14.25" hidden="false" customHeight="false" outlineLevel="0" collapsed="false">
      <c r="A1799" s="34" t="n">
        <f aca="false">A1798+1</f>
        <v>1794</v>
      </c>
      <c r="B1799" s="35" t="s">
        <v>1436</v>
      </c>
      <c r="C1799" s="35" t="str">
        <f aca="false">"0003522"</f>
        <v>0003522</v>
      </c>
      <c r="D1799" s="37" t="s">
        <v>1478</v>
      </c>
      <c r="E1799" s="35" t="n">
        <v>1987</v>
      </c>
      <c r="F1799" s="38" t="n">
        <f aca="false">34194.35*1.2</f>
        <v>41033.22</v>
      </c>
      <c r="G1799" s="39" t="n">
        <v>1</v>
      </c>
      <c r="H1799" s="40" t="n">
        <v>2050</v>
      </c>
    </row>
    <row r="1800" s="33" customFormat="true" ht="14.25" hidden="false" customHeight="false" outlineLevel="0" collapsed="false">
      <c r="A1800" s="34" t="n">
        <f aca="false">A1799+1</f>
        <v>1795</v>
      </c>
      <c r="B1800" s="35" t="s">
        <v>1436</v>
      </c>
      <c r="C1800" s="35" t="str">
        <f aca="false">"0003623"</f>
        <v>0003623</v>
      </c>
      <c r="D1800" s="37" t="s">
        <v>1479</v>
      </c>
      <c r="E1800" s="35" t="n">
        <v>1987</v>
      </c>
      <c r="F1800" s="38" t="n">
        <f aca="false">48851.49*1.2</f>
        <v>58621.788</v>
      </c>
      <c r="G1800" s="39" t="n">
        <v>1</v>
      </c>
      <c r="H1800" s="40" t="n">
        <v>2910</v>
      </c>
    </row>
    <row r="1801" s="33" customFormat="true" ht="14.25" hidden="false" customHeight="false" outlineLevel="0" collapsed="false">
      <c r="A1801" s="34" t="n">
        <f aca="false">A1800+1</f>
        <v>1796</v>
      </c>
      <c r="B1801" s="35" t="s">
        <v>1436</v>
      </c>
      <c r="C1801" s="35" t="str">
        <f aca="false">"0003624"</f>
        <v>0003624</v>
      </c>
      <c r="D1801" s="37" t="s">
        <v>1480</v>
      </c>
      <c r="E1801" s="35" t="n">
        <v>1987</v>
      </c>
      <c r="F1801" s="38" t="n">
        <f aca="false">29308.64*1.2</f>
        <v>35170.368</v>
      </c>
      <c r="G1801" s="39" t="n">
        <v>1</v>
      </c>
      <c r="H1801" s="40" t="n">
        <v>1750</v>
      </c>
    </row>
    <row r="1802" s="33" customFormat="true" ht="14.25" hidden="false" customHeight="false" outlineLevel="0" collapsed="false">
      <c r="A1802" s="34" t="n">
        <f aca="false">A1801+1</f>
        <v>1797</v>
      </c>
      <c r="B1802" s="35" t="s">
        <v>1436</v>
      </c>
      <c r="C1802" s="35" t="str">
        <f aca="false">"0003694"</f>
        <v>0003694</v>
      </c>
      <c r="D1802" s="37" t="s">
        <v>41</v>
      </c>
      <c r="E1802" s="35" t="n">
        <v>1987</v>
      </c>
      <c r="F1802" s="38" t="n">
        <v>39.4</v>
      </c>
      <c r="G1802" s="39" t="n">
        <v>1</v>
      </c>
      <c r="H1802" s="40" t="n">
        <v>5</v>
      </c>
    </row>
    <row r="1803" s="33" customFormat="true" ht="14.25" hidden="false" customHeight="false" outlineLevel="0" collapsed="false">
      <c r="A1803" s="34" t="n">
        <f aca="false">A1802+1</f>
        <v>1798</v>
      </c>
      <c r="B1803" s="35" t="s">
        <v>1436</v>
      </c>
      <c r="C1803" s="35" t="str">
        <f aca="false">"0003989"</f>
        <v>0003989</v>
      </c>
      <c r="D1803" s="37" t="s">
        <v>1481</v>
      </c>
      <c r="E1803" s="35" t="n">
        <v>1987</v>
      </c>
      <c r="F1803" s="38" t="n">
        <f aca="false">146554.46*1.2</f>
        <v>175865.352</v>
      </c>
      <c r="G1803" s="39" t="n">
        <v>1</v>
      </c>
      <c r="H1803" s="40" t="n">
        <v>8725</v>
      </c>
    </row>
    <row r="1804" s="33" customFormat="true" ht="14.25" hidden="false" customHeight="false" outlineLevel="0" collapsed="false">
      <c r="A1804" s="34" t="n">
        <f aca="false">A1803+1</f>
        <v>1799</v>
      </c>
      <c r="B1804" s="35" t="s">
        <v>1436</v>
      </c>
      <c r="C1804" s="35" t="str">
        <f aca="false">"0003993"</f>
        <v>0003993</v>
      </c>
      <c r="D1804" s="37" t="s">
        <v>1196</v>
      </c>
      <c r="E1804" s="35" t="n">
        <v>1987</v>
      </c>
      <c r="F1804" s="38" t="n">
        <v>90.06</v>
      </c>
      <c r="G1804" s="39" t="n">
        <v>1</v>
      </c>
      <c r="H1804" s="40" t="n">
        <v>5</v>
      </c>
    </row>
    <row r="1805" s="33" customFormat="true" ht="14.25" hidden="false" customHeight="false" outlineLevel="0" collapsed="false">
      <c r="A1805" s="34" t="n">
        <f aca="false">A1804+1</f>
        <v>1800</v>
      </c>
      <c r="B1805" s="35" t="s">
        <v>1436</v>
      </c>
      <c r="C1805" s="35" t="str">
        <f aca="false">"0003998"</f>
        <v>0003998</v>
      </c>
      <c r="D1805" s="37" t="s">
        <v>1251</v>
      </c>
      <c r="E1805" s="35" t="n">
        <v>1987</v>
      </c>
      <c r="F1805" s="38" t="n">
        <v>118.2</v>
      </c>
      <c r="G1805" s="39" t="n">
        <v>4</v>
      </c>
      <c r="H1805" s="40" t="n">
        <v>20</v>
      </c>
    </row>
    <row r="1806" s="33" customFormat="true" ht="14.25" hidden="false" customHeight="false" outlineLevel="0" collapsed="false">
      <c r="A1806" s="34" t="n">
        <f aca="false">A1805+1</f>
        <v>1801</v>
      </c>
      <c r="B1806" s="35" t="s">
        <v>1436</v>
      </c>
      <c r="C1806" s="35" t="str">
        <f aca="false">"0004053"</f>
        <v>0004053</v>
      </c>
      <c r="D1806" s="37" t="s">
        <v>191</v>
      </c>
      <c r="E1806" s="35" t="n">
        <v>1987</v>
      </c>
      <c r="F1806" s="38" t="n">
        <v>2003.82</v>
      </c>
      <c r="G1806" s="39" t="n">
        <v>8</v>
      </c>
      <c r="H1806" s="40" t="n">
        <v>800</v>
      </c>
    </row>
    <row r="1807" s="33" customFormat="true" ht="14.25" hidden="false" customHeight="false" outlineLevel="0" collapsed="false">
      <c r="A1807" s="34" t="n">
        <f aca="false">A1806+1</f>
        <v>1802</v>
      </c>
      <c r="B1807" s="35" t="s">
        <v>1436</v>
      </c>
      <c r="C1807" s="35" t="str">
        <f aca="false">"0004081"</f>
        <v>0004081</v>
      </c>
      <c r="D1807" s="37" t="s">
        <v>114</v>
      </c>
      <c r="E1807" s="35" t="n">
        <v>1987</v>
      </c>
      <c r="F1807" s="38" t="n">
        <v>33.77</v>
      </c>
      <c r="G1807" s="39" t="n">
        <v>1</v>
      </c>
      <c r="H1807" s="40" t="n">
        <v>5</v>
      </c>
    </row>
    <row r="1808" s="33" customFormat="true" ht="14.25" hidden="false" customHeight="false" outlineLevel="0" collapsed="false">
      <c r="A1808" s="34" t="n">
        <f aca="false">A1807+1</f>
        <v>1803</v>
      </c>
      <c r="B1808" s="35" t="s">
        <v>1436</v>
      </c>
      <c r="C1808" s="35" t="str">
        <f aca="false">"0004086"</f>
        <v>0004086</v>
      </c>
      <c r="D1808" s="37" t="s">
        <v>42</v>
      </c>
      <c r="E1808" s="35" t="n">
        <v>1987</v>
      </c>
      <c r="F1808" s="38" t="n">
        <v>56.29</v>
      </c>
      <c r="G1808" s="39" t="n">
        <v>3</v>
      </c>
      <c r="H1808" s="40" t="n">
        <v>15</v>
      </c>
    </row>
    <row r="1809" s="33" customFormat="true" ht="14.25" hidden="false" customHeight="false" outlineLevel="0" collapsed="false">
      <c r="A1809" s="34" t="n">
        <f aca="false">A1808+1</f>
        <v>1804</v>
      </c>
      <c r="B1809" s="35" t="s">
        <v>1436</v>
      </c>
      <c r="C1809" s="35" t="str">
        <f aca="false">"0004109"</f>
        <v>0004109</v>
      </c>
      <c r="D1809" s="37" t="s">
        <v>301</v>
      </c>
      <c r="E1809" s="35" t="n">
        <v>1987</v>
      </c>
      <c r="F1809" s="38" t="n">
        <v>28.14</v>
      </c>
      <c r="G1809" s="39" t="n">
        <v>1</v>
      </c>
      <c r="H1809" s="40" t="n">
        <v>5</v>
      </c>
    </row>
    <row r="1810" s="33" customFormat="true" ht="14.25" hidden="false" customHeight="false" outlineLevel="0" collapsed="false">
      <c r="A1810" s="34" t="n">
        <f aca="false">A1809+1</f>
        <v>1805</v>
      </c>
      <c r="B1810" s="35" t="s">
        <v>1436</v>
      </c>
      <c r="C1810" s="35" t="str">
        <f aca="false">"0004125"</f>
        <v>0004125</v>
      </c>
      <c r="D1810" s="37" t="s">
        <v>1482</v>
      </c>
      <c r="E1810" s="35" t="n">
        <v>1987</v>
      </c>
      <c r="F1810" s="38" t="n">
        <v>48851.49</v>
      </c>
      <c r="G1810" s="39" t="n">
        <v>1</v>
      </c>
      <c r="H1810" s="44" t="s">
        <v>121</v>
      </c>
    </row>
    <row r="1811" s="33" customFormat="true" ht="14.25" hidden="false" customHeight="false" outlineLevel="0" collapsed="false">
      <c r="A1811" s="34" t="n">
        <f aca="false">A1810+1</f>
        <v>1806</v>
      </c>
      <c r="B1811" s="35" t="s">
        <v>1436</v>
      </c>
      <c r="C1811" s="35" t="str">
        <f aca="false">"0004129"</f>
        <v>0004129</v>
      </c>
      <c r="D1811" s="37" t="s">
        <v>1483</v>
      </c>
      <c r="E1811" s="35" t="n">
        <v>1987</v>
      </c>
      <c r="F1811" s="38" t="n">
        <v>9771.42</v>
      </c>
      <c r="G1811" s="39" t="n">
        <v>1</v>
      </c>
      <c r="H1811" s="40" t="n">
        <v>500</v>
      </c>
    </row>
    <row r="1812" s="33" customFormat="true" ht="14.25" hidden="false" customHeight="false" outlineLevel="0" collapsed="false">
      <c r="A1812" s="34" t="n">
        <f aca="false">A1811+1</f>
        <v>1807</v>
      </c>
      <c r="B1812" s="35" t="s">
        <v>1436</v>
      </c>
      <c r="C1812" s="35" t="str">
        <f aca="false">"0004138"</f>
        <v>0004138</v>
      </c>
      <c r="D1812" s="37" t="s">
        <v>1194</v>
      </c>
      <c r="E1812" s="35" t="n">
        <v>1987</v>
      </c>
      <c r="F1812" s="38" t="n">
        <v>33.77</v>
      </c>
      <c r="G1812" s="39" t="n">
        <v>3</v>
      </c>
      <c r="H1812" s="40" t="n">
        <v>15</v>
      </c>
    </row>
    <row r="1813" s="33" customFormat="true" ht="14.25" hidden="false" customHeight="false" outlineLevel="0" collapsed="false">
      <c r="A1813" s="34" t="n">
        <f aca="false">A1812+1</f>
        <v>1808</v>
      </c>
      <c r="B1813" s="35" t="s">
        <v>1436</v>
      </c>
      <c r="C1813" s="35" t="str">
        <f aca="false">"0004491"</f>
        <v>0004491</v>
      </c>
      <c r="D1813" s="37" t="s">
        <v>1251</v>
      </c>
      <c r="E1813" s="35" t="n">
        <v>1987</v>
      </c>
      <c r="F1813" s="38" t="n">
        <v>106.95</v>
      </c>
      <c r="G1813" s="39" t="n">
        <v>10</v>
      </c>
      <c r="H1813" s="40" t="n">
        <v>50</v>
      </c>
    </row>
    <row r="1814" s="33" customFormat="true" ht="14.25" hidden="false" customHeight="false" outlineLevel="0" collapsed="false">
      <c r="A1814" s="46" t="n">
        <f aca="false">A1813+1</f>
        <v>1809</v>
      </c>
      <c r="B1814" s="35" t="s">
        <v>1436</v>
      </c>
      <c r="C1814" s="35" t="str">
        <f aca="false">"0004617"</f>
        <v>0004617</v>
      </c>
      <c r="D1814" s="37" t="s">
        <v>1484</v>
      </c>
      <c r="E1814" s="35" t="n">
        <v>1978</v>
      </c>
      <c r="F1814" s="38" t="n">
        <f aca="false">9770286.2*1.2</f>
        <v>11724343.44</v>
      </c>
      <c r="G1814" s="39" t="n">
        <v>1</v>
      </c>
      <c r="H1814" s="40" t="n">
        <v>514000</v>
      </c>
    </row>
    <row r="1815" s="33" customFormat="true" ht="14.25" hidden="false" customHeight="false" outlineLevel="0" collapsed="false">
      <c r="A1815" s="46" t="n">
        <f aca="false">A1814+1</f>
        <v>1810</v>
      </c>
      <c r="B1815" s="35" t="s">
        <v>1436</v>
      </c>
      <c r="C1815" s="35" t="str">
        <f aca="false">"0004619"</f>
        <v>0004619</v>
      </c>
      <c r="D1815" s="37" t="s">
        <v>1485</v>
      </c>
      <c r="E1815" s="35" t="n">
        <v>1978</v>
      </c>
      <c r="F1815" s="38" t="n">
        <f aca="false">48851431.01*1.2</f>
        <v>58621717.212</v>
      </c>
      <c r="G1815" s="39" t="n">
        <v>1</v>
      </c>
      <c r="H1815" s="40" t="n">
        <v>2401200</v>
      </c>
    </row>
    <row r="1816" s="33" customFormat="true" ht="14.25" hidden="false" customHeight="false" outlineLevel="0" collapsed="false">
      <c r="A1816" s="34" t="n">
        <f aca="false">A1815+1</f>
        <v>1811</v>
      </c>
      <c r="B1816" s="35" t="s">
        <v>1436</v>
      </c>
      <c r="C1816" s="35" t="str">
        <f aca="false">"0004902"</f>
        <v>0004902</v>
      </c>
      <c r="D1816" s="37" t="s">
        <v>1486</v>
      </c>
      <c r="E1816" s="35" t="n">
        <v>1979</v>
      </c>
      <c r="F1816" s="38" t="n">
        <f aca="false">3480*7.5*1.1</f>
        <v>28710</v>
      </c>
      <c r="G1816" s="39" t="n">
        <v>1</v>
      </c>
      <c r="H1816" s="40" t="n">
        <v>1200</v>
      </c>
    </row>
    <row r="1817" s="33" customFormat="true" ht="14.25" hidden="false" customHeight="false" outlineLevel="0" collapsed="false">
      <c r="A1817" s="34" t="n">
        <f aca="false">A1816+1</f>
        <v>1812</v>
      </c>
      <c r="B1817" s="35" t="s">
        <v>1436</v>
      </c>
      <c r="C1817" s="35" t="str">
        <f aca="false">"0004945"</f>
        <v>0004945</v>
      </c>
      <c r="D1817" s="37" t="s">
        <v>191</v>
      </c>
      <c r="E1817" s="35" t="n">
        <v>1987</v>
      </c>
      <c r="F1817" s="38" t="n">
        <v>1902.5</v>
      </c>
      <c r="G1817" s="39" t="n">
        <v>1</v>
      </c>
      <c r="H1817" s="40" t="n">
        <v>90</v>
      </c>
    </row>
    <row r="1818" s="33" customFormat="true" ht="14.25" hidden="false" customHeight="false" outlineLevel="0" collapsed="false">
      <c r="A1818" s="34" t="n">
        <f aca="false">A1817+1</f>
        <v>1813</v>
      </c>
      <c r="B1818" s="35" t="s">
        <v>1436</v>
      </c>
      <c r="C1818" s="35" t="str">
        <f aca="false">"0004942"</f>
        <v>0004942</v>
      </c>
      <c r="D1818" s="37" t="s">
        <v>1487</v>
      </c>
      <c r="E1818" s="35" t="n">
        <v>1982</v>
      </c>
      <c r="F1818" s="38" t="n">
        <f aca="false">2442.86*1.25</f>
        <v>3053.575</v>
      </c>
      <c r="G1818" s="39" t="n">
        <v>14</v>
      </c>
      <c r="H1818" s="40" t="n">
        <v>1960</v>
      </c>
    </row>
    <row r="1819" s="33" customFormat="true" ht="14.25" hidden="false" customHeight="false" outlineLevel="0" collapsed="false">
      <c r="A1819" s="34" t="n">
        <f aca="false">A1818+1</f>
        <v>1814</v>
      </c>
      <c r="B1819" s="35" t="s">
        <v>1436</v>
      </c>
      <c r="C1819" s="35" t="str">
        <f aca="false">"0004959"</f>
        <v>0004959</v>
      </c>
      <c r="D1819" s="37" t="s">
        <v>310</v>
      </c>
      <c r="E1819" s="35" t="n">
        <v>1987</v>
      </c>
      <c r="F1819" s="38" t="n">
        <v>50.66</v>
      </c>
      <c r="G1819" s="39" t="n">
        <v>1</v>
      </c>
      <c r="H1819" s="40" t="n">
        <v>5</v>
      </c>
    </row>
    <row r="1820" s="33" customFormat="true" ht="14.25" hidden="false" customHeight="false" outlineLevel="0" collapsed="false">
      <c r="A1820" s="34" t="n">
        <f aca="false">A1819+1</f>
        <v>1815</v>
      </c>
      <c r="B1820" s="35" t="s">
        <v>1436</v>
      </c>
      <c r="C1820" s="35" t="str">
        <f aca="false">"0004960"</f>
        <v>0004960</v>
      </c>
      <c r="D1820" s="37" t="s">
        <v>1488</v>
      </c>
      <c r="E1820" s="35" t="n">
        <v>1981</v>
      </c>
      <c r="F1820" s="38" t="n">
        <f aca="false">4885.71*1.25</f>
        <v>6107.1375</v>
      </c>
      <c r="G1820" s="39" t="n">
        <v>1</v>
      </c>
      <c r="H1820" s="40" t="n">
        <v>255</v>
      </c>
    </row>
    <row r="1821" s="33" customFormat="true" ht="14.25" hidden="false" customHeight="false" outlineLevel="0" collapsed="false">
      <c r="A1821" s="34" t="n">
        <f aca="false">A1820+1</f>
        <v>1816</v>
      </c>
      <c r="B1821" s="35" t="s">
        <v>1436</v>
      </c>
      <c r="C1821" s="35" t="str">
        <f aca="false">"0004991"</f>
        <v>0004991</v>
      </c>
      <c r="D1821" s="37" t="s">
        <v>1489</v>
      </c>
      <c r="E1821" s="35" t="n">
        <v>1987</v>
      </c>
      <c r="F1821" s="38" t="n">
        <f aca="false">24422.93*1.2</f>
        <v>29307.516</v>
      </c>
      <c r="G1821" s="39" t="n">
        <v>1</v>
      </c>
      <c r="H1821" s="40" t="n">
        <v>1400</v>
      </c>
    </row>
    <row r="1822" s="33" customFormat="true" ht="14.25" hidden="false" customHeight="false" outlineLevel="0" collapsed="false">
      <c r="A1822" s="34" t="n">
        <f aca="false">A1821+1</f>
        <v>1817</v>
      </c>
      <c r="B1822" s="35" t="s">
        <v>1436</v>
      </c>
      <c r="C1822" s="35" t="str">
        <f aca="false">"0005004"</f>
        <v>0005004</v>
      </c>
      <c r="D1822" s="37" t="s">
        <v>42</v>
      </c>
      <c r="E1822" s="35" t="n">
        <v>1987</v>
      </c>
      <c r="F1822" s="38" t="n">
        <v>56.29</v>
      </c>
      <c r="G1822" s="39" t="n">
        <v>1</v>
      </c>
      <c r="H1822" s="40" t="n">
        <v>5</v>
      </c>
    </row>
    <row r="1823" s="33" customFormat="true" ht="14.25" hidden="false" customHeight="false" outlineLevel="0" collapsed="false">
      <c r="A1823" s="34" t="n">
        <f aca="false">A1822+1</f>
        <v>1818</v>
      </c>
      <c r="B1823" s="35" t="s">
        <v>1436</v>
      </c>
      <c r="C1823" s="35" t="str">
        <f aca="false">"0005013"</f>
        <v>0005013</v>
      </c>
      <c r="D1823" s="37" t="s">
        <v>114</v>
      </c>
      <c r="E1823" s="35" t="n">
        <v>1987</v>
      </c>
      <c r="F1823" s="38" t="n">
        <v>45.03</v>
      </c>
      <c r="G1823" s="39" t="n">
        <v>1</v>
      </c>
      <c r="H1823" s="40" t="n">
        <v>5</v>
      </c>
    </row>
    <row r="1824" s="33" customFormat="true" ht="14.25" hidden="false" customHeight="false" outlineLevel="0" collapsed="false">
      <c r="A1824" s="34" t="n">
        <f aca="false">A1823+1</f>
        <v>1819</v>
      </c>
      <c r="B1824" s="35" t="s">
        <v>1436</v>
      </c>
      <c r="C1824" s="35" t="str">
        <f aca="false">"0005030"</f>
        <v>0005030</v>
      </c>
      <c r="D1824" s="37" t="s">
        <v>308</v>
      </c>
      <c r="E1824" s="35" t="n">
        <v>1987</v>
      </c>
      <c r="F1824" s="38" t="n">
        <v>22.51</v>
      </c>
      <c r="G1824" s="39" t="n">
        <v>1</v>
      </c>
      <c r="H1824" s="40" t="n">
        <v>5</v>
      </c>
    </row>
    <row r="1825" s="33" customFormat="true" ht="14.25" hidden="false" customHeight="false" outlineLevel="0" collapsed="false">
      <c r="A1825" s="34" t="n">
        <f aca="false">A1824+1</f>
        <v>1820</v>
      </c>
      <c r="B1825" s="35" t="s">
        <v>1436</v>
      </c>
      <c r="C1825" s="35" t="str">
        <f aca="false">"0005105"</f>
        <v>0005105</v>
      </c>
      <c r="D1825" s="37" t="s">
        <v>1490</v>
      </c>
      <c r="E1825" s="35" t="n">
        <v>1982</v>
      </c>
      <c r="F1825" s="38" t="n">
        <f aca="false">146554.46*1.2</f>
        <v>175865.352</v>
      </c>
      <c r="G1825" s="39" t="n">
        <v>1</v>
      </c>
      <c r="H1825" s="40" t="n">
        <v>8400</v>
      </c>
    </row>
    <row r="1826" s="33" customFormat="true" ht="14.25" hidden="false" customHeight="false" outlineLevel="0" collapsed="false">
      <c r="A1826" s="34" t="n">
        <f aca="false">A1825+1</f>
        <v>1821</v>
      </c>
      <c r="B1826" s="35" t="s">
        <v>1436</v>
      </c>
      <c r="C1826" s="35" t="str">
        <f aca="false">"0005131"</f>
        <v>0005131</v>
      </c>
      <c r="D1826" s="37" t="s">
        <v>312</v>
      </c>
      <c r="E1826" s="35" t="n">
        <v>1987</v>
      </c>
      <c r="F1826" s="38" t="n">
        <v>45.03</v>
      </c>
      <c r="G1826" s="39" t="n">
        <v>7</v>
      </c>
      <c r="H1826" s="40" t="n">
        <v>35</v>
      </c>
    </row>
    <row r="1827" s="33" customFormat="true" ht="14.25" hidden="false" customHeight="false" outlineLevel="0" collapsed="false">
      <c r="A1827" s="34" t="n">
        <f aca="false">A1826+1</f>
        <v>1822</v>
      </c>
      <c r="B1827" s="35" t="s">
        <v>1436</v>
      </c>
      <c r="C1827" s="35" t="str">
        <f aca="false">"0005562"</f>
        <v>0005562</v>
      </c>
      <c r="D1827" s="37" t="s">
        <v>1491</v>
      </c>
      <c r="E1827" s="35" t="n">
        <v>1982</v>
      </c>
      <c r="F1827" s="38" t="n">
        <f aca="false">14657.13*1.25</f>
        <v>18321.4125</v>
      </c>
      <c r="G1827" s="39" t="n">
        <v>1</v>
      </c>
      <c r="H1827" s="40" t="n">
        <v>620</v>
      </c>
    </row>
    <row r="1828" s="33" customFormat="true" ht="14.25" hidden="false" customHeight="false" outlineLevel="0" collapsed="false">
      <c r="A1828" s="34" t="n">
        <f aca="false">A1827+1</f>
        <v>1823</v>
      </c>
      <c r="B1828" s="35" t="s">
        <v>1436</v>
      </c>
      <c r="C1828" s="35" t="str">
        <f aca="false">"0005634"</f>
        <v>0005634</v>
      </c>
      <c r="D1828" s="37" t="s">
        <v>301</v>
      </c>
      <c r="E1828" s="35" t="n">
        <v>1987</v>
      </c>
      <c r="F1828" s="38" t="n">
        <v>28.14</v>
      </c>
      <c r="G1828" s="39" t="n">
        <v>2</v>
      </c>
      <c r="H1828" s="40" t="n">
        <v>10</v>
      </c>
    </row>
    <row r="1829" s="33" customFormat="true" ht="14.25" hidden="false" customHeight="false" outlineLevel="0" collapsed="false">
      <c r="A1829" s="34" t="n">
        <f aca="false">A1828+1</f>
        <v>1824</v>
      </c>
      <c r="B1829" s="35" t="s">
        <v>1436</v>
      </c>
      <c r="C1829" s="35" t="str">
        <f aca="false">"0005855"</f>
        <v>0005855</v>
      </c>
      <c r="D1829" s="37" t="s">
        <v>310</v>
      </c>
      <c r="E1829" s="35" t="n">
        <v>1987</v>
      </c>
      <c r="F1829" s="38" t="n">
        <v>50.66</v>
      </c>
      <c r="G1829" s="39" t="n">
        <v>6</v>
      </c>
      <c r="H1829" s="40" t="n">
        <v>30</v>
      </c>
    </row>
    <row r="1830" s="33" customFormat="true" ht="14.25" hidden="false" customHeight="false" outlineLevel="0" collapsed="false">
      <c r="A1830" s="34" t="n">
        <f aca="false">A1829+1</f>
        <v>1825</v>
      </c>
      <c r="B1830" s="35" t="s">
        <v>1436</v>
      </c>
      <c r="C1830" s="35" t="str">
        <f aca="false">"0006049"</f>
        <v>0006049</v>
      </c>
      <c r="D1830" s="37" t="s">
        <v>1492</v>
      </c>
      <c r="E1830" s="35" t="n">
        <v>1987</v>
      </c>
      <c r="F1830" s="38" t="n">
        <f aca="false">27700*7.5</f>
        <v>207750</v>
      </c>
      <c r="G1830" s="39" t="n">
        <v>1</v>
      </c>
      <c r="H1830" s="40" t="n">
        <v>9900</v>
      </c>
    </row>
    <row r="1831" s="33" customFormat="true" ht="14.25" hidden="false" customHeight="false" outlineLevel="0" collapsed="false">
      <c r="A1831" s="34" t="n">
        <f aca="false">A1830+1</f>
        <v>1826</v>
      </c>
      <c r="B1831" s="35" t="s">
        <v>1436</v>
      </c>
      <c r="C1831" s="35" t="str">
        <f aca="false">"0006351"</f>
        <v>0006351</v>
      </c>
      <c r="D1831" s="37" t="s">
        <v>1493</v>
      </c>
      <c r="E1831" s="35" t="n">
        <v>1984</v>
      </c>
      <c r="F1831" s="38" t="n">
        <f aca="false">195405.95*1.2</f>
        <v>234487.14</v>
      </c>
      <c r="G1831" s="39" t="n">
        <v>1</v>
      </c>
      <c r="H1831" s="40" t="n">
        <v>10960</v>
      </c>
    </row>
    <row r="1832" s="33" customFormat="true" ht="14.25" hidden="false" customHeight="false" outlineLevel="0" collapsed="false">
      <c r="A1832" s="34" t="n">
        <f aca="false">A1831+1</f>
        <v>1827</v>
      </c>
      <c r="B1832" s="35" t="s">
        <v>1436</v>
      </c>
      <c r="C1832" s="35" t="str">
        <f aca="false">"0006402"</f>
        <v>0006402</v>
      </c>
      <c r="D1832" s="37" t="s">
        <v>42</v>
      </c>
      <c r="E1832" s="35" t="n">
        <v>1986</v>
      </c>
      <c r="F1832" s="38" t="n">
        <v>56.29</v>
      </c>
      <c r="G1832" s="39" t="n">
        <v>1</v>
      </c>
      <c r="H1832" s="40" t="n">
        <v>5</v>
      </c>
    </row>
    <row r="1833" s="33" customFormat="true" ht="14.25" hidden="false" customHeight="false" outlineLevel="0" collapsed="false">
      <c r="A1833" s="34" t="n">
        <f aca="false">A1832+1</f>
        <v>1828</v>
      </c>
      <c r="B1833" s="35" t="s">
        <v>1436</v>
      </c>
      <c r="C1833" s="35" t="str">
        <f aca="false">"0006629"</f>
        <v>0006629</v>
      </c>
      <c r="D1833" s="37" t="s">
        <v>114</v>
      </c>
      <c r="E1833" s="35" t="n">
        <v>1987</v>
      </c>
      <c r="F1833" s="38" t="n">
        <v>39.4</v>
      </c>
      <c r="G1833" s="39" t="n">
        <v>1</v>
      </c>
      <c r="H1833" s="40" t="n">
        <v>5</v>
      </c>
    </row>
    <row r="1834" s="33" customFormat="true" ht="14.25" hidden="false" customHeight="false" outlineLevel="0" collapsed="false">
      <c r="A1834" s="34" t="n">
        <f aca="false">A1833+1</f>
        <v>1829</v>
      </c>
      <c r="B1834" s="35" t="s">
        <v>1436</v>
      </c>
      <c r="C1834" s="35" t="str">
        <f aca="false">"0006632"</f>
        <v>0006632</v>
      </c>
      <c r="D1834" s="37" t="s">
        <v>1196</v>
      </c>
      <c r="E1834" s="35" t="n">
        <v>1987</v>
      </c>
      <c r="F1834" s="38" t="n">
        <v>45.03</v>
      </c>
      <c r="G1834" s="39" t="n">
        <v>1</v>
      </c>
      <c r="H1834" s="40" t="n">
        <v>5</v>
      </c>
    </row>
    <row r="1835" s="33" customFormat="true" ht="14.25" hidden="false" customHeight="false" outlineLevel="0" collapsed="false">
      <c r="A1835" s="34" t="n">
        <f aca="false">A1834+1</f>
        <v>1830</v>
      </c>
      <c r="B1835" s="35" t="s">
        <v>1436</v>
      </c>
      <c r="C1835" s="35" t="str">
        <f aca="false">"0006779"</f>
        <v>0006779</v>
      </c>
      <c r="D1835" s="37" t="s">
        <v>301</v>
      </c>
      <c r="E1835" s="35" t="n">
        <v>1987</v>
      </c>
      <c r="F1835" s="38" t="n">
        <v>28.14</v>
      </c>
      <c r="G1835" s="39" t="n">
        <v>1</v>
      </c>
      <c r="H1835" s="40" t="n">
        <v>5</v>
      </c>
    </row>
    <row r="1836" s="33" customFormat="true" ht="14.25" hidden="false" customHeight="false" outlineLevel="0" collapsed="false">
      <c r="A1836" s="34" t="n">
        <f aca="false">A1835+1</f>
        <v>1831</v>
      </c>
      <c r="B1836" s="35" t="s">
        <v>1436</v>
      </c>
      <c r="C1836" s="35" t="str">
        <f aca="false">"0006785"</f>
        <v>0006785</v>
      </c>
      <c r="D1836" s="37" t="s">
        <v>312</v>
      </c>
      <c r="E1836" s="35" t="n">
        <v>1987</v>
      </c>
      <c r="F1836" s="38" t="n">
        <v>45.03</v>
      </c>
      <c r="G1836" s="39" t="n">
        <v>1</v>
      </c>
      <c r="H1836" s="40" t="n">
        <v>5</v>
      </c>
    </row>
    <row r="1837" s="33" customFormat="true" ht="14.25" hidden="false" customHeight="false" outlineLevel="0" collapsed="false">
      <c r="A1837" s="34" t="n">
        <f aca="false">A1836+1</f>
        <v>1832</v>
      </c>
      <c r="B1837" s="35" t="s">
        <v>1436</v>
      </c>
      <c r="C1837" s="35" t="str">
        <f aca="false">"0006870"</f>
        <v>0006870</v>
      </c>
      <c r="D1837" s="37" t="s">
        <v>1494</v>
      </c>
      <c r="E1837" s="35" t="n">
        <v>1985</v>
      </c>
      <c r="F1837" s="38" t="n">
        <f aca="false">73274.42*1.2</f>
        <v>87929.304</v>
      </c>
      <c r="G1837" s="39" t="n">
        <v>1</v>
      </c>
      <c r="H1837" s="40" t="n">
        <v>4200</v>
      </c>
    </row>
    <row r="1838" s="33" customFormat="true" ht="14.25" hidden="false" customHeight="false" outlineLevel="0" collapsed="false">
      <c r="A1838" s="34" t="n">
        <f aca="false">A1837+1</f>
        <v>1833</v>
      </c>
      <c r="B1838" s="35" t="s">
        <v>1436</v>
      </c>
      <c r="C1838" s="35" t="str">
        <f aca="false">"0006901"</f>
        <v>0006901</v>
      </c>
      <c r="D1838" s="37" t="s">
        <v>191</v>
      </c>
      <c r="E1838" s="35" t="n">
        <v>1987</v>
      </c>
      <c r="F1838" s="38" t="n">
        <v>1902.5</v>
      </c>
      <c r="G1838" s="39" t="n">
        <v>2</v>
      </c>
      <c r="H1838" s="40" t="n">
        <v>180</v>
      </c>
    </row>
    <row r="1839" s="33" customFormat="true" ht="14.25" hidden="false" customHeight="false" outlineLevel="0" collapsed="false">
      <c r="A1839" s="34" t="n">
        <f aca="false">A1838+1</f>
        <v>1834</v>
      </c>
      <c r="B1839" s="35" t="s">
        <v>1436</v>
      </c>
      <c r="C1839" s="35" t="str">
        <f aca="false">"0007274"</f>
        <v>0007274</v>
      </c>
      <c r="D1839" s="37" t="s">
        <v>301</v>
      </c>
      <c r="E1839" s="35" t="n">
        <v>1987</v>
      </c>
      <c r="F1839" s="38" t="n">
        <v>22.51</v>
      </c>
      <c r="G1839" s="39" t="n">
        <v>1</v>
      </c>
      <c r="H1839" s="40" t="n">
        <v>5</v>
      </c>
    </row>
    <row r="1840" s="33" customFormat="true" ht="14.25" hidden="false" customHeight="false" outlineLevel="0" collapsed="false">
      <c r="A1840" s="46" t="n">
        <f aca="false">A1839+1</f>
        <v>1835</v>
      </c>
      <c r="B1840" s="35" t="s">
        <v>1436</v>
      </c>
      <c r="C1840" s="35" t="str">
        <f aca="false">"0008104"</f>
        <v>0008104</v>
      </c>
      <c r="D1840" s="37" t="s">
        <v>1495</v>
      </c>
      <c r="E1840" s="35" t="n">
        <v>1990</v>
      </c>
      <c r="F1840" s="38" t="n">
        <f aca="false">15500*7.5</f>
        <v>116250</v>
      </c>
      <c r="G1840" s="39" t="n">
        <v>1</v>
      </c>
      <c r="H1840" s="40" t="n">
        <v>6450</v>
      </c>
    </row>
    <row r="1841" s="33" customFormat="true" ht="14.25" hidden="false" customHeight="false" outlineLevel="0" collapsed="false">
      <c r="A1841" s="34" t="n">
        <f aca="false">A1840+1</f>
        <v>1836</v>
      </c>
      <c r="B1841" s="35" t="s">
        <v>1436</v>
      </c>
      <c r="C1841" s="35" t="str">
        <f aca="false">"0008641"</f>
        <v>0008641</v>
      </c>
      <c r="D1841" s="37" t="s">
        <v>312</v>
      </c>
      <c r="E1841" s="35" t="n">
        <v>1987</v>
      </c>
      <c r="F1841" s="38" t="n">
        <v>45.03</v>
      </c>
      <c r="G1841" s="39" t="n">
        <v>8</v>
      </c>
      <c r="H1841" s="40" t="n">
        <v>40</v>
      </c>
    </row>
    <row r="1842" s="33" customFormat="true" ht="14.25" hidden="false" customHeight="false" outlineLevel="0" collapsed="false">
      <c r="A1842" s="34" t="n">
        <f aca="false">A1841+1</f>
        <v>1837</v>
      </c>
      <c r="B1842" s="35" t="s">
        <v>1436</v>
      </c>
      <c r="C1842" s="35" t="str">
        <f aca="false">"0008653"</f>
        <v>0008653</v>
      </c>
      <c r="D1842" s="37" t="s">
        <v>301</v>
      </c>
      <c r="E1842" s="35" t="n">
        <v>1987</v>
      </c>
      <c r="F1842" s="38" t="n">
        <v>28.14</v>
      </c>
      <c r="G1842" s="39" t="n">
        <v>1</v>
      </c>
      <c r="H1842" s="40" t="n">
        <v>5</v>
      </c>
    </row>
    <row r="1843" s="33" customFormat="true" ht="14.25" hidden="false" customHeight="false" outlineLevel="0" collapsed="false">
      <c r="A1843" s="34" t="n">
        <f aca="false">A1842+1</f>
        <v>1838</v>
      </c>
      <c r="B1843" s="35" t="s">
        <v>1436</v>
      </c>
      <c r="C1843" s="35" t="str">
        <f aca="false">"0008704"</f>
        <v>0008704</v>
      </c>
      <c r="D1843" s="37" t="s">
        <v>1373</v>
      </c>
      <c r="E1843" s="35" t="n">
        <v>1987</v>
      </c>
      <c r="F1843" s="38" t="n">
        <v>112.57</v>
      </c>
      <c r="G1843" s="39" t="n">
        <v>1</v>
      </c>
      <c r="H1843" s="40" t="n">
        <v>5</v>
      </c>
    </row>
    <row r="1844" s="33" customFormat="true" ht="14.25" hidden="false" customHeight="false" outlineLevel="0" collapsed="false">
      <c r="A1844" s="34" t="n">
        <f aca="false">A1843+1</f>
        <v>1839</v>
      </c>
      <c r="B1844" s="35" t="s">
        <v>1436</v>
      </c>
      <c r="C1844" s="35" t="str">
        <f aca="false">"0008738"</f>
        <v>0008738</v>
      </c>
      <c r="D1844" s="37" t="s">
        <v>191</v>
      </c>
      <c r="E1844" s="35" t="n">
        <v>1987</v>
      </c>
      <c r="F1844" s="38" t="n">
        <v>1795.56</v>
      </c>
      <c r="G1844" s="39" t="n">
        <v>1</v>
      </c>
      <c r="H1844" s="40" t="n">
        <v>90</v>
      </c>
    </row>
    <row r="1845" s="33" customFormat="true" ht="14.25" hidden="false" customHeight="false" outlineLevel="0" collapsed="false">
      <c r="A1845" s="34" t="n">
        <f aca="false">A1844+1</f>
        <v>1840</v>
      </c>
      <c r="B1845" s="35" t="s">
        <v>1436</v>
      </c>
      <c r="C1845" s="35" t="str">
        <f aca="false">"0008822"</f>
        <v>0008822</v>
      </c>
      <c r="D1845" s="37" t="s">
        <v>1251</v>
      </c>
      <c r="E1845" s="35" t="n">
        <v>1987</v>
      </c>
      <c r="F1845" s="38" t="n">
        <v>118.2</v>
      </c>
      <c r="G1845" s="39" t="n">
        <v>9</v>
      </c>
      <c r="H1845" s="40" t="n">
        <v>45</v>
      </c>
    </row>
    <row r="1846" s="33" customFormat="true" ht="14.25" hidden="false" customHeight="false" outlineLevel="0" collapsed="false">
      <c r="A1846" s="34" t="n">
        <f aca="false">A1845+1</f>
        <v>1841</v>
      </c>
      <c r="B1846" s="35" t="s">
        <v>1436</v>
      </c>
      <c r="C1846" s="35" t="str">
        <f aca="false">"0008931"</f>
        <v>0008931</v>
      </c>
      <c r="D1846" s="37" t="s">
        <v>1496</v>
      </c>
      <c r="E1846" s="35" t="n">
        <v>1993</v>
      </c>
      <c r="F1846" s="38" t="n">
        <v>427.78</v>
      </c>
      <c r="G1846" s="39" t="n">
        <v>1</v>
      </c>
      <c r="H1846" s="40" t="n">
        <v>25</v>
      </c>
    </row>
    <row r="1847" s="33" customFormat="true" ht="14.25" hidden="false" customHeight="false" outlineLevel="0" collapsed="false">
      <c r="A1847" s="34" t="n">
        <f aca="false">A1846+1</f>
        <v>1842</v>
      </c>
      <c r="B1847" s="35" t="s">
        <v>1436</v>
      </c>
      <c r="C1847" s="35" t="str">
        <f aca="false">"0008932"</f>
        <v>0008932</v>
      </c>
      <c r="D1847" s="37" t="s">
        <v>1497</v>
      </c>
      <c r="E1847" s="35" t="n">
        <v>1993</v>
      </c>
      <c r="F1847" s="38" t="n">
        <v>343.35</v>
      </c>
      <c r="G1847" s="39" t="n">
        <v>2</v>
      </c>
      <c r="H1847" s="40" t="n">
        <v>40</v>
      </c>
    </row>
    <row r="1848" s="33" customFormat="true" ht="14.25" hidden="false" customHeight="false" outlineLevel="0" collapsed="false">
      <c r="A1848" s="34" t="n">
        <f aca="false">A1847+1</f>
        <v>1843</v>
      </c>
      <c r="B1848" s="35" t="s">
        <v>1436</v>
      </c>
      <c r="C1848" s="35" t="str">
        <f aca="false">"0009159"</f>
        <v>0009159</v>
      </c>
      <c r="D1848" s="37" t="s">
        <v>301</v>
      </c>
      <c r="E1848" s="35" t="n">
        <v>1987</v>
      </c>
      <c r="F1848" s="38" t="n">
        <v>28.14</v>
      </c>
      <c r="G1848" s="39" t="n">
        <v>1</v>
      </c>
      <c r="H1848" s="40" t="n">
        <v>5</v>
      </c>
    </row>
    <row r="1849" s="33" customFormat="true" ht="14.25" hidden="false" customHeight="false" outlineLevel="0" collapsed="false">
      <c r="A1849" s="34" t="n">
        <f aca="false">A1848+1</f>
        <v>1844</v>
      </c>
      <c r="B1849" s="35" t="s">
        <v>1436</v>
      </c>
      <c r="C1849" s="35" t="str">
        <f aca="false">"0009327"</f>
        <v>0009327</v>
      </c>
      <c r="D1849" s="37" t="s">
        <v>1498</v>
      </c>
      <c r="E1849" s="35" t="n">
        <v>1987</v>
      </c>
      <c r="F1849" s="38" t="n">
        <v>202.63</v>
      </c>
      <c r="G1849" s="39" t="n">
        <v>1</v>
      </c>
      <c r="H1849" s="40" t="n">
        <v>10</v>
      </c>
    </row>
    <row r="1850" s="33" customFormat="true" ht="14.25" hidden="false" customHeight="false" outlineLevel="0" collapsed="false">
      <c r="A1850" s="34" t="n">
        <f aca="false">A1849+1</f>
        <v>1845</v>
      </c>
      <c r="B1850" s="35" t="s">
        <v>1436</v>
      </c>
      <c r="C1850" s="35" t="str">
        <f aca="false">"0009441"</f>
        <v>0009441</v>
      </c>
      <c r="D1850" s="37" t="s">
        <v>42</v>
      </c>
      <c r="E1850" s="35" t="n">
        <v>1987</v>
      </c>
      <c r="F1850" s="38" t="n">
        <v>56.29</v>
      </c>
      <c r="G1850" s="39" t="n">
        <v>1</v>
      </c>
      <c r="H1850" s="40" t="n">
        <v>5</v>
      </c>
    </row>
    <row r="1851" s="33" customFormat="true" ht="14.25" hidden="false" customHeight="false" outlineLevel="0" collapsed="false">
      <c r="A1851" s="34" t="n">
        <f aca="false">A1850+1</f>
        <v>1846</v>
      </c>
      <c r="B1851" s="35" t="s">
        <v>1436</v>
      </c>
      <c r="C1851" s="35" t="str">
        <f aca="false">"0010454"</f>
        <v>0010454</v>
      </c>
      <c r="D1851" s="37" t="s">
        <v>310</v>
      </c>
      <c r="E1851" s="35" t="n">
        <v>1987</v>
      </c>
      <c r="F1851" s="38" t="n">
        <v>84.43</v>
      </c>
      <c r="G1851" s="39" t="n">
        <v>2</v>
      </c>
      <c r="H1851" s="40" t="n">
        <v>10</v>
      </c>
    </row>
    <row r="1852" s="33" customFormat="true" ht="14.25" hidden="false" customHeight="false" outlineLevel="0" collapsed="false">
      <c r="A1852" s="34" t="n">
        <f aca="false">A1851+1</f>
        <v>1847</v>
      </c>
      <c r="B1852" s="35" t="s">
        <v>1436</v>
      </c>
      <c r="C1852" s="35" t="str">
        <f aca="false">"0010462"</f>
        <v>0010462</v>
      </c>
      <c r="D1852" s="37" t="s">
        <v>312</v>
      </c>
      <c r="E1852" s="35" t="n">
        <v>1987</v>
      </c>
      <c r="F1852" s="38" t="n">
        <v>67.54</v>
      </c>
      <c r="G1852" s="39" t="n">
        <v>8</v>
      </c>
      <c r="H1852" s="40" t="n">
        <v>40</v>
      </c>
    </row>
    <row r="1853" s="33" customFormat="true" ht="14.25" hidden="false" customHeight="false" outlineLevel="0" collapsed="false">
      <c r="A1853" s="34" t="n">
        <f aca="false">A1852+1</f>
        <v>1848</v>
      </c>
      <c r="B1853" s="35" t="s">
        <v>1436</v>
      </c>
      <c r="C1853" s="35" t="str">
        <f aca="false">"0010494"</f>
        <v>0010494</v>
      </c>
      <c r="D1853" s="37" t="s">
        <v>114</v>
      </c>
      <c r="E1853" s="35" t="n">
        <v>1987</v>
      </c>
      <c r="F1853" s="38" t="n">
        <v>61.92</v>
      </c>
      <c r="G1853" s="39" t="n">
        <v>3</v>
      </c>
      <c r="H1853" s="40" t="n">
        <v>15</v>
      </c>
    </row>
    <row r="1854" s="33" customFormat="true" ht="14.25" hidden="false" customHeight="false" outlineLevel="0" collapsed="false">
      <c r="A1854" s="34" t="n">
        <f aca="false">A1853+1</f>
        <v>1849</v>
      </c>
      <c r="B1854" s="35" t="s">
        <v>1436</v>
      </c>
      <c r="C1854" s="35" t="str">
        <f aca="false">"0010510"</f>
        <v>0010510</v>
      </c>
      <c r="D1854" s="37" t="s">
        <v>41</v>
      </c>
      <c r="E1854" s="35" t="n">
        <v>1987</v>
      </c>
      <c r="F1854" s="38" t="n">
        <v>22.51</v>
      </c>
      <c r="G1854" s="39" t="n">
        <v>1</v>
      </c>
      <c r="H1854" s="40" t="n">
        <v>5</v>
      </c>
    </row>
    <row r="1855" s="33" customFormat="true" ht="14.25" hidden="false" customHeight="false" outlineLevel="0" collapsed="false">
      <c r="A1855" s="34" t="n">
        <f aca="false">A1854+1</f>
        <v>1850</v>
      </c>
      <c r="B1855" s="35" t="s">
        <v>1436</v>
      </c>
      <c r="C1855" s="35" t="str">
        <f aca="false">"0010770"</f>
        <v>0010770</v>
      </c>
      <c r="D1855" s="37" t="s">
        <v>1107</v>
      </c>
      <c r="E1855" s="35" t="n">
        <v>1987</v>
      </c>
      <c r="F1855" s="38" t="n">
        <v>50.66</v>
      </c>
      <c r="G1855" s="39" t="n">
        <v>10</v>
      </c>
      <c r="H1855" s="40" t="n">
        <v>50</v>
      </c>
    </row>
    <row r="1856" s="33" customFormat="true" ht="14.25" hidden="false" customHeight="false" outlineLevel="0" collapsed="false">
      <c r="A1856" s="34" t="n">
        <f aca="false">A1855+1</f>
        <v>1851</v>
      </c>
      <c r="B1856" s="35" t="s">
        <v>1436</v>
      </c>
      <c r="C1856" s="35" t="str">
        <f aca="false">"0011134"</f>
        <v>0011134</v>
      </c>
      <c r="D1856" s="37" t="s">
        <v>1498</v>
      </c>
      <c r="E1856" s="35" t="n">
        <v>1987</v>
      </c>
      <c r="F1856" s="38" t="n">
        <v>315.21</v>
      </c>
      <c r="G1856" s="39" t="n">
        <v>1</v>
      </c>
      <c r="H1856" s="40" t="n">
        <v>15</v>
      </c>
    </row>
    <row r="1857" s="33" customFormat="true" ht="14.25" hidden="false" customHeight="false" outlineLevel="0" collapsed="false">
      <c r="A1857" s="34" t="n">
        <f aca="false">A1856+1</f>
        <v>1852</v>
      </c>
      <c r="B1857" s="35" t="s">
        <v>1436</v>
      </c>
      <c r="C1857" s="35" t="str">
        <f aca="false">"0011597"</f>
        <v>0011597</v>
      </c>
      <c r="D1857" s="37" t="s">
        <v>312</v>
      </c>
      <c r="E1857" s="35" t="n">
        <v>1987</v>
      </c>
      <c r="F1857" s="38" t="n">
        <v>56.29</v>
      </c>
      <c r="G1857" s="39" t="n">
        <v>1</v>
      </c>
      <c r="H1857" s="40" t="n">
        <v>5</v>
      </c>
    </row>
    <row r="1858" s="33" customFormat="true" ht="14.25" hidden="false" customHeight="false" outlineLevel="0" collapsed="false">
      <c r="A1858" s="34" t="n">
        <f aca="false">A1857+1</f>
        <v>1853</v>
      </c>
      <c r="B1858" s="35" t="s">
        <v>1436</v>
      </c>
      <c r="C1858" s="35" t="str">
        <f aca="false">"0012150"</f>
        <v>0012150</v>
      </c>
      <c r="D1858" s="37" t="s">
        <v>1499</v>
      </c>
      <c r="E1858" s="35" t="n">
        <v>2001</v>
      </c>
      <c r="F1858" s="38" t="n">
        <v>132651.69</v>
      </c>
      <c r="G1858" s="39" t="n">
        <v>1</v>
      </c>
      <c r="H1858" s="40" t="n">
        <v>8360</v>
      </c>
    </row>
    <row r="1859" s="33" customFormat="true" ht="14.25" hidden="false" customHeight="false" outlineLevel="0" collapsed="false">
      <c r="A1859" s="34" t="n">
        <f aca="false">A1858+1</f>
        <v>1854</v>
      </c>
      <c r="B1859" s="35" t="s">
        <v>1436</v>
      </c>
      <c r="C1859" s="35" t="str">
        <f aca="false">"0012172"</f>
        <v>0012172</v>
      </c>
      <c r="D1859" s="37" t="s">
        <v>1196</v>
      </c>
      <c r="E1859" s="35" t="n">
        <v>1987</v>
      </c>
      <c r="F1859" s="38" t="n">
        <v>151.97</v>
      </c>
      <c r="G1859" s="39" t="n">
        <v>2</v>
      </c>
      <c r="H1859" s="40" t="n">
        <v>10</v>
      </c>
    </row>
    <row r="1860" s="33" customFormat="true" ht="14.25" hidden="false" customHeight="false" outlineLevel="0" collapsed="false">
      <c r="A1860" s="34" t="n">
        <f aca="false">A1859+1</f>
        <v>1855</v>
      </c>
      <c r="B1860" s="35" t="s">
        <v>1436</v>
      </c>
      <c r="C1860" s="35" t="str">
        <f aca="false">"0012174"</f>
        <v>0012174</v>
      </c>
      <c r="D1860" s="37" t="s">
        <v>1500</v>
      </c>
      <c r="E1860" s="35" t="n">
        <v>1987</v>
      </c>
      <c r="F1860" s="38" t="n">
        <v>78.8</v>
      </c>
      <c r="G1860" s="39" t="n">
        <v>9</v>
      </c>
      <c r="H1860" s="40" t="n">
        <v>45</v>
      </c>
    </row>
    <row r="1861" s="33" customFormat="true" ht="14.25" hidden="false" customHeight="false" outlineLevel="0" collapsed="false">
      <c r="A1861" s="34" t="n">
        <f aca="false">A1860+1</f>
        <v>1856</v>
      </c>
      <c r="B1861" s="35" t="s">
        <v>1436</v>
      </c>
      <c r="C1861" s="35" t="str">
        <f aca="false">"0012236"</f>
        <v>0012236</v>
      </c>
      <c r="D1861" s="37" t="s">
        <v>308</v>
      </c>
      <c r="E1861" s="35" t="n">
        <v>1987</v>
      </c>
      <c r="F1861" s="38" t="n">
        <v>39.4</v>
      </c>
      <c r="G1861" s="39" t="n">
        <v>1</v>
      </c>
      <c r="H1861" s="40" t="n">
        <v>5</v>
      </c>
    </row>
    <row r="1862" s="33" customFormat="true" ht="14.25" hidden="false" customHeight="false" outlineLevel="0" collapsed="false">
      <c r="A1862" s="45" t="n">
        <f aca="false">A1861+1</f>
        <v>1857</v>
      </c>
      <c r="B1862" s="35" t="s">
        <v>1436</v>
      </c>
      <c r="C1862" s="35" t="str">
        <f aca="false">"0012487"</f>
        <v>0012487</v>
      </c>
      <c r="D1862" s="37" t="s">
        <v>1501</v>
      </c>
      <c r="E1862" s="35" t="n">
        <v>2002</v>
      </c>
      <c r="F1862" s="38" t="n">
        <v>6900331.98</v>
      </c>
      <c r="G1862" s="39" t="n">
        <v>1</v>
      </c>
      <c r="H1862" s="40" t="n">
        <v>441600</v>
      </c>
    </row>
    <row r="1863" s="33" customFormat="true" ht="14.25" hidden="false" customHeight="false" outlineLevel="0" collapsed="false">
      <c r="A1863" s="34" t="n">
        <f aca="false">A1862+1</f>
        <v>1858</v>
      </c>
      <c r="B1863" s="35" t="s">
        <v>1436</v>
      </c>
      <c r="C1863" s="35" t="str">
        <f aca="false">"0013482"</f>
        <v>0013482</v>
      </c>
      <c r="D1863" s="37" t="s">
        <v>42</v>
      </c>
      <c r="E1863" s="35" t="n">
        <v>1987</v>
      </c>
      <c r="F1863" s="38" t="n">
        <v>163.23</v>
      </c>
      <c r="G1863" s="39" t="n">
        <v>1</v>
      </c>
      <c r="H1863" s="40" t="n">
        <v>5</v>
      </c>
    </row>
    <row r="1864" s="33" customFormat="true" ht="14.25" hidden="false" customHeight="false" outlineLevel="0" collapsed="false">
      <c r="A1864" s="34" t="n">
        <f aca="false">A1863+1</f>
        <v>1859</v>
      </c>
      <c r="B1864" s="35" t="s">
        <v>1436</v>
      </c>
      <c r="C1864" s="35" t="str">
        <f aca="false">"0013955"</f>
        <v>0013955</v>
      </c>
      <c r="D1864" s="37" t="s">
        <v>1251</v>
      </c>
      <c r="E1864" s="35" t="n">
        <v>1987</v>
      </c>
      <c r="F1864" s="38" t="n">
        <v>213.89</v>
      </c>
      <c r="G1864" s="39" t="n">
        <v>4</v>
      </c>
      <c r="H1864" s="40" t="n">
        <v>40</v>
      </c>
    </row>
    <row r="1865" s="33" customFormat="true" ht="14.25" hidden="false" customHeight="false" outlineLevel="0" collapsed="false">
      <c r="A1865" s="34" t="n">
        <f aca="false">A1864+1</f>
        <v>1860</v>
      </c>
      <c r="B1865" s="35" t="s">
        <v>1436</v>
      </c>
      <c r="C1865" s="35" t="str">
        <f aca="false">"0014475"</f>
        <v>0014475</v>
      </c>
      <c r="D1865" s="37" t="s">
        <v>205</v>
      </c>
      <c r="E1865" s="35" t="n">
        <v>1987</v>
      </c>
      <c r="F1865" s="38" t="n">
        <v>1885.61</v>
      </c>
      <c r="G1865" s="39" t="n">
        <v>1</v>
      </c>
      <c r="H1865" s="40" t="n">
        <v>90</v>
      </c>
    </row>
    <row r="1866" s="33" customFormat="true" ht="14.25" hidden="false" customHeight="false" outlineLevel="0" collapsed="false">
      <c r="A1866" s="34" t="n">
        <f aca="false">A1865+1</f>
        <v>1861</v>
      </c>
      <c r="B1866" s="35" t="s">
        <v>1436</v>
      </c>
      <c r="C1866" s="35" t="str">
        <f aca="false">"0014584"</f>
        <v>0014584</v>
      </c>
      <c r="D1866" s="37" t="s">
        <v>152</v>
      </c>
      <c r="E1866" s="35" t="n">
        <v>1987</v>
      </c>
      <c r="F1866" s="38" t="n">
        <v>208.26</v>
      </c>
      <c r="G1866" s="39" t="n">
        <v>1</v>
      </c>
      <c r="H1866" s="40" t="n">
        <v>10</v>
      </c>
    </row>
    <row r="1867" s="33" customFormat="true" ht="14.25" hidden="false" customHeight="false" outlineLevel="0" collapsed="false">
      <c r="A1867" s="34" t="n">
        <f aca="false">A1866+1</f>
        <v>1862</v>
      </c>
      <c r="B1867" s="35" t="s">
        <v>1436</v>
      </c>
      <c r="C1867" s="35" t="str">
        <f aca="false">"0015242"</f>
        <v>0015242</v>
      </c>
      <c r="D1867" s="37" t="s">
        <v>1251</v>
      </c>
      <c r="E1867" s="35" t="n">
        <v>1987</v>
      </c>
      <c r="F1867" s="38" t="n">
        <v>168.86</v>
      </c>
      <c r="G1867" s="39" t="n">
        <v>29</v>
      </c>
      <c r="H1867" s="40" t="n">
        <v>290</v>
      </c>
    </row>
    <row r="1868" s="33" customFormat="true" ht="14.25" hidden="false" customHeight="false" outlineLevel="0" collapsed="false">
      <c r="A1868" s="34" t="n">
        <f aca="false">A1867+1</f>
        <v>1863</v>
      </c>
      <c r="B1868" s="35" t="s">
        <v>1436</v>
      </c>
      <c r="C1868" s="35" t="str">
        <f aca="false">"0016942"</f>
        <v>0016942</v>
      </c>
      <c r="D1868" s="37" t="s">
        <v>1502</v>
      </c>
      <c r="E1868" s="35" t="n">
        <v>1987</v>
      </c>
      <c r="F1868" s="38" t="n">
        <v>12214.28</v>
      </c>
      <c r="G1868" s="39" t="n">
        <v>1</v>
      </c>
      <c r="H1868" s="40" t="n">
        <v>600</v>
      </c>
    </row>
    <row r="1869" s="33" customFormat="true" ht="14.25" hidden="false" customHeight="false" outlineLevel="0" collapsed="false">
      <c r="A1869" s="34" t="n">
        <f aca="false">A1868+1</f>
        <v>1864</v>
      </c>
      <c r="B1869" s="35" t="s">
        <v>1436</v>
      </c>
      <c r="C1869" s="35" t="str">
        <f aca="false">"0017031"</f>
        <v>0017031</v>
      </c>
      <c r="D1869" s="37" t="s">
        <v>1503</v>
      </c>
      <c r="E1869" s="35" t="n">
        <v>1987</v>
      </c>
      <c r="F1869" s="38" t="n">
        <v>4885.71</v>
      </c>
      <c r="G1869" s="39" t="n">
        <v>3</v>
      </c>
      <c r="H1869" s="40" t="n">
        <v>720</v>
      </c>
    </row>
    <row r="1870" s="33" customFormat="true" ht="14.25" hidden="false" customHeight="false" outlineLevel="0" collapsed="false">
      <c r="A1870" s="34" t="n">
        <f aca="false">A1869+1</f>
        <v>1865</v>
      </c>
      <c r="B1870" s="35" t="s">
        <v>1436</v>
      </c>
      <c r="C1870" s="35" t="str">
        <f aca="false">"0017038"</f>
        <v>0017038</v>
      </c>
      <c r="D1870" s="37" t="s">
        <v>1504</v>
      </c>
      <c r="E1870" s="35" t="n">
        <v>1987</v>
      </c>
      <c r="F1870" s="38" t="n">
        <f aca="false">34194.35*1.2</f>
        <v>41033.22</v>
      </c>
      <c r="G1870" s="39" t="n">
        <v>6</v>
      </c>
      <c r="H1870" s="40" t="n">
        <v>12000</v>
      </c>
    </row>
    <row r="1871" s="33" customFormat="true" ht="14.25" hidden="false" customHeight="false" outlineLevel="0" collapsed="false">
      <c r="A1871" s="34" t="n">
        <f aca="false">A1870+1</f>
        <v>1866</v>
      </c>
      <c r="B1871" s="35" t="s">
        <v>1436</v>
      </c>
      <c r="C1871" s="35" t="str">
        <f aca="false">"0017046"</f>
        <v>0017046</v>
      </c>
      <c r="D1871" s="37" t="s">
        <v>1505</v>
      </c>
      <c r="E1871" s="35" t="n">
        <v>1987</v>
      </c>
      <c r="F1871" s="38" t="n">
        <f aca="false">14657.13*1.2</f>
        <v>17588.556</v>
      </c>
      <c r="G1871" s="39" t="n">
        <v>2</v>
      </c>
      <c r="H1871" s="40" t="n">
        <v>1740</v>
      </c>
    </row>
    <row r="1872" s="33" customFormat="true" ht="14.25" hidden="false" customHeight="false" outlineLevel="0" collapsed="false">
      <c r="A1872" s="34" t="n">
        <f aca="false">A1871+1</f>
        <v>1867</v>
      </c>
      <c r="B1872" s="35" t="s">
        <v>1436</v>
      </c>
      <c r="C1872" s="35" t="str">
        <f aca="false">"0017048"</f>
        <v>0017048</v>
      </c>
      <c r="D1872" s="37" t="s">
        <v>1506</v>
      </c>
      <c r="E1872" s="35" t="n">
        <v>1987</v>
      </c>
      <c r="F1872" s="38" t="n">
        <f aca="false">24422.93*1.2</f>
        <v>29307.516</v>
      </c>
      <c r="G1872" s="39" t="n">
        <v>1</v>
      </c>
      <c r="H1872" s="40" t="n">
        <v>1450</v>
      </c>
    </row>
    <row r="1873" s="33" customFormat="true" ht="14.25" hidden="false" customHeight="false" outlineLevel="0" collapsed="false">
      <c r="A1873" s="34" t="n">
        <f aca="false">A1872+1</f>
        <v>1868</v>
      </c>
      <c r="B1873" s="35" t="s">
        <v>1436</v>
      </c>
      <c r="C1873" s="35" t="str">
        <f aca="false">"0017050"</f>
        <v>0017050</v>
      </c>
      <c r="D1873" s="37" t="s">
        <v>1507</v>
      </c>
      <c r="E1873" s="35" t="n">
        <v>1987</v>
      </c>
      <c r="F1873" s="38" t="n">
        <f aca="false">9771.42*1.2</f>
        <v>11725.704</v>
      </c>
      <c r="G1873" s="39" t="n">
        <v>2</v>
      </c>
      <c r="H1873" s="40" t="n">
        <v>1160</v>
      </c>
    </row>
    <row r="1874" s="33" customFormat="true" ht="14.25" hidden="false" customHeight="false" outlineLevel="0" collapsed="false">
      <c r="A1874" s="34" t="n">
        <f aca="false">A1873+1</f>
        <v>1869</v>
      </c>
      <c r="B1874" s="35" t="s">
        <v>1436</v>
      </c>
      <c r="C1874" s="35" t="str">
        <f aca="false">"0017054"</f>
        <v>0017054</v>
      </c>
      <c r="D1874" s="37" t="s">
        <v>1508</v>
      </c>
      <c r="E1874" s="35" t="n">
        <v>1987</v>
      </c>
      <c r="F1874" s="38" t="n">
        <f aca="false">7328.57*1.2</f>
        <v>8794.284</v>
      </c>
      <c r="G1874" s="39" t="n">
        <v>1</v>
      </c>
      <c r="H1874" s="40" t="n">
        <v>435</v>
      </c>
    </row>
    <row r="1875" s="33" customFormat="true" ht="14.25" hidden="false" customHeight="false" outlineLevel="0" collapsed="false">
      <c r="A1875" s="34" t="n">
        <f aca="false">A1874+1</f>
        <v>1870</v>
      </c>
      <c r="B1875" s="35" t="s">
        <v>1436</v>
      </c>
      <c r="C1875" s="35" t="str">
        <f aca="false">"0017056"</f>
        <v>0017056</v>
      </c>
      <c r="D1875" s="37" t="s">
        <v>1508</v>
      </c>
      <c r="E1875" s="35" t="n">
        <v>1987</v>
      </c>
      <c r="F1875" s="38" t="n">
        <f aca="false">9771.42*1.2</f>
        <v>11725.704</v>
      </c>
      <c r="G1875" s="39" t="n">
        <v>1</v>
      </c>
      <c r="H1875" s="40" t="n">
        <v>580</v>
      </c>
    </row>
    <row r="1876" s="33" customFormat="true" ht="14.25" hidden="false" customHeight="false" outlineLevel="0" collapsed="false">
      <c r="A1876" s="34" t="n">
        <f aca="false">A1875+1</f>
        <v>1871</v>
      </c>
      <c r="B1876" s="35" t="s">
        <v>1436</v>
      </c>
      <c r="C1876" s="35" t="str">
        <f aca="false">"0017059"</f>
        <v>0017059</v>
      </c>
      <c r="D1876" s="37" t="s">
        <v>1509</v>
      </c>
      <c r="E1876" s="35" t="n">
        <v>1987</v>
      </c>
      <c r="F1876" s="38" t="n">
        <f aca="false">9771.42*1.2</f>
        <v>11725.704</v>
      </c>
      <c r="G1876" s="39" t="n">
        <v>1</v>
      </c>
      <c r="H1876" s="40" t="n">
        <v>580</v>
      </c>
    </row>
    <row r="1877" s="33" customFormat="true" ht="14.25" hidden="false" customHeight="false" outlineLevel="0" collapsed="false">
      <c r="A1877" s="34" t="n">
        <f aca="false">A1876+1</f>
        <v>1872</v>
      </c>
      <c r="B1877" s="35" t="s">
        <v>1436</v>
      </c>
      <c r="C1877" s="35" t="str">
        <f aca="false">"0017061"</f>
        <v>0017061</v>
      </c>
      <c r="D1877" s="37" t="s">
        <v>1510</v>
      </c>
      <c r="E1877" s="35" t="n">
        <v>1987</v>
      </c>
      <c r="F1877" s="38" t="n">
        <f aca="false">14657.13*1.2</f>
        <v>17588.556</v>
      </c>
      <c r="G1877" s="39" t="n">
        <v>1</v>
      </c>
      <c r="H1877" s="40" t="n">
        <v>870</v>
      </c>
    </row>
    <row r="1878" s="33" customFormat="true" ht="14.25" hidden="false" customHeight="false" outlineLevel="0" collapsed="false">
      <c r="A1878" s="34" t="n">
        <f aca="false">A1877+1</f>
        <v>1873</v>
      </c>
      <c r="B1878" s="35" t="s">
        <v>1436</v>
      </c>
      <c r="C1878" s="35" t="str">
        <f aca="false">"0017062"</f>
        <v>0017062</v>
      </c>
      <c r="D1878" s="37" t="s">
        <v>1511</v>
      </c>
      <c r="E1878" s="35" t="n">
        <v>1987</v>
      </c>
      <c r="F1878" s="38" t="n">
        <f aca="false">4885.71*1.2</f>
        <v>5862.852</v>
      </c>
      <c r="G1878" s="39" t="n">
        <v>1</v>
      </c>
      <c r="H1878" s="40" t="n">
        <v>290</v>
      </c>
    </row>
    <row r="1879" s="33" customFormat="true" ht="14.25" hidden="false" customHeight="false" outlineLevel="0" collapsed="false">
      <c r="A1879" s="34" t="n">
        <f aca="false">A1878+1</f>
        <v>1874</v>
      </c>
      <c r="B1879" s="35" t="s">
        <v>1436</v>
      </c>
      <c r="C1879" s="35" t="str">
        <f aca="false">"0017063"</f>
        <v>0017063</v>
      </c>
      <c r="D1879" s="37" t="s">
        <v>1512</v>
      </c>
      <c r="E1879" s="35" t="n">
        <v>1987</v>
      </c>
      <c r="F1879" s="38" t="n">
        <f aca="false">4885.71*1.2</f>
        <v>5862.852</v>
      </c>
      <c r="G1879" s="39" t="n">
        <v>2</v>
      </c>
      <c r="H1879" s="40" t="n">
        <v>580</v>
      </c>
    </row>
    <row r="1880" s="33" customFormat="true" ht="14.25" hidden="false" customHeight="false" outlineLevel="0" collapsed="false">
      <c r="A1880" s="34" t="n">
        <f aca="false">A1879+1</f>
        <v>1875</v>
      </c>
      <c r="B1880" s="35" t="s">
        <v>1436</v>
      </c>
      <c r="C1880" s="35" t="str">
        <f aca="false">"0017065"</f>
        <v>0017065</v>
      </c>
      <c r="D1880" s="37" t="s">
        <v>1513</v>
      </c>
      <c r="E1880" s="35" t="n">
        <v>1987</v>
      </c>
      <c r="F1880" s="38" t="n">
        <f aca="false">9771.42*1.2</f>
        <v>11725.704</v>
      </c>
      <c r="G1880" s="39" t="n">
        <v>1</v>
      </c>
      <c r="H1880" s="40" t="n">
        <v>580</v>
      </c>
    </row>
    <row r="1881" s="33" customFormat="true" ht="14.25" hidden="false" customHeight="false" outlineLevel="0" collapsed="false">
      <c r="A1881" s="34" t="n">
        <f aca="false">A1880+1</f>
        <v>1876</v>
      </c>
      <c r="B1881" s="35" t="s">
        <v>1436</v>
      </c>
      <c r="C1881" s="35" t="str">
        <f aca="false">"0017066"</f>
        <v>0017066</v>
      </c>
      <c r="D1881" s="37" t="s">
        <v>1514</v>
      </c>
      <c r="E1881" s="35" t="n">
        <v>1987</v>
      </c>
      <c r="F1881" s="38" t="n">
        <f aca="false">4885.71*1.2</f>
        <v>5862.852</v>
      </c>
      <c r="G1881" s="39" t="n">
        <v>1</v>
      </c>
      <c r="H1881" s="40" t="n">
        <v>290</v>
      </c>
    </row>
    <row r="1882" s="33" customFormat="true" ht="14.25" hidden="false" customHeight="false" outlineLevel="0" collapsed="false">
      <c r="A1882" s="34" t="n">
        <f aca="false">A1881+1</f>
        <v>1877</v>
      </c>
      <c r="B1882" s="35" t="s">
        <v>1436</v>
      </c>
      <c r="C1882" s="35" t="str">
        <f aca="false">"0017070"</f>
        <v>0017070</v>
      </c>
      <c r="D1882" s="37" t="s">
        <v>1515</v>
      </c>
      <c r="E1882" s="35" t="n">
        <v>1987</v>
      </c>
      <c r="F1882" s="38" t="n">
        <f aca="false">4885.71*1.2</f>
        <v>5862.852</v>
      </c>
      <c r="G1882" s="39" t="n">
        <v>3</v>
      </c>
      <c r="H1882" s="40" t="n">
        <v>870</v>
      </c>
    </row>
    <row r="1883" s="33" customFormat="true" ht="14.25" hidden="false" customHeight="false" outlineLevel="0" collapsed="false">
      <c r="A1883" s="34" t="n">
        <f aca="false">A1882+1</f>
        <v>1878</v>
      </c>
      <c r="B1883" s="35" t="s">
        <v>1436</v>
      </c>
      <c r="C1883" s="35" t="str">
        <f aca="false">"0017086"</f>
        <v>0017086</v>
      </c>
      <c r="D1883" s="37" t="s">
        <v>1516</v>
      </c>
      <c r="E1883" s="35" t="n">
        <v>1987</v>
      </c>
      <c r="F1883" s="38" t="n">
        <f aca="false">4885.71*1.2</f>
        <v>5862.852</v>
      </c>
      <c r="G1883" s="39" t="n">
        <v>3</v>
      </c>
      <c r="H1883" s="40" t="n">
        <v>870</v>
      </c>
    </row>
    <row r="1884" s="33" customFormat="true" ht="14.25" hidden="false" customHeight="false" outlineLevel="0" collapsed="false">
      <c r="A1884" s="34" t="n">
        <f aca="false">A1883+1</f>
        <v>1879</v>
      </c>
      <c r="B1884" s="35" t="s">
        <v>1436</v>
      </c>
      <c r="C1884" s="35" t="str">
        <f aca="false">"0017089"</f>
        <v>0017089</v>
      </c>
      <c r="D1884" s="37" t="s">
        <v>1517</v>
      </c>
      <c r="E1884" s="35" t="n">
        <v>1987</v>
      </c>
      <c r="F1884" s="38" t="n">
        <f aca="false">7328.57*1.2</f>
        <v>8794.284</v>
      </c>
      <c r="G1884" s="39" t="n">
        <v>1</v>
      </c>
      <c r="H1884" s="40" t="n">
        <v>435</v>
      </c>
    </row>
    <row r="1885" s="33" customFormat="true" ht="14.25" hidden="false" customHeight="false" outlineLevel="0" collapsed="false">
      <c r="A1885" s="34" t="n">
        <f aca="false">A1884+1</f>
        <v>1880</v>
      </c>
      <c r="B1885" s="35" t="s">
        <v>1436</v>
      </c>
      <c r="C1885" s="35" t="str">
        <f aca="false">"0017090"</f>
        <v>0017090</v>
      </c>
      <c r="D1885" s="37" t="s">
        <v>1518</v>
      </c>
      <c r="E1885" s="35" t="n">
        <v>1987</v>
      </c>
      <c r="F1885" s="38" t="n">
        <f aca="false">4885.71*1.2</f>
        <v>5862.852</v>
      </c>
      <c r="G1885" s="39" t="n">
        <v>2</v>
      </c>
      <c r="H1885" s="40" t="n">
        <v>580</v>
      </c>
    </row>
    <row r="1886" s="33" customFormat="true" ht="14.25" hidden="false" customHeight="false" outlineLevel="0" collapsed="false">
      <c r="A1886" s="34" t="n">
        <f aca="false">A1885+1</f>
        <v>1881</v>
      </c>
      <c r="B1886" s="35" t="s">
        <v>1436</v>
      </c>
      <c r="C1886" s="35" t="str">
        <f aca="false">"0017131"</f>
        <v>0017131</v>
      </c>
      <c r="D1886" s="37" t="s">
        <v>1519</v>
      </c>
      <c r="E1886" s="35" t="n">
        <v>1987</v>
      </c>
      <c r="F1886" s="38" t="n">
        <f aca="false">4885.71*1.2</f>
        <v>5862.852</v>
      </c>
      <c r="G1886" s="39" t="n">
        <v>1</v>
      </c>
      <c r="H1886" s="40" t="n">
        <v>290</v>
      </c>
    </row>
    <row r="1887" s="33" customFormat="true" ht="14.25" hidden="false" customHeight="false" outlineLevel="0" collapsed="false">
      <c r="A1887" s="34" t="n">
        <f aca="false">A1886+1</f>
        <v>1882</v>
      </c>
      <c r="B1887" s="35" t="s">
        <v>1436</v>
      </c>
      <c r="C1887" s="35" t="str">
        <f aca="false">"0017132"</f>
        <v>0017132</v>
      </c>
      <c r="D1887" s="37" t="s">
        <v>1520</v>
      </c>
      <c r="E1887" s="35" t="n">
        <v>1987</v>
      </c>
      <c r="F1887" s="38" t="n">
        <f aca="false">4885.71*1.2</f>
        <v>5862.852</v>
      </c>
      <c r="G1887" s="39" t="n">
        <v>2</v>
      </c>
      <c r="H1887" s="40" t="n">
        <v>580</v>
      </c>
    </row>
    <row r="1888" s="33" customFormat="true" ht="14.25" hidden="false" customHeight="false" outlineLevel="0" collapsed="false">
      <c r="A1888" s="34" t="n">
        <f aca="false">A1887+1</f>
        <v>1883</v>
      </c>
      <c r="B1888" s="35" t="s">
        <v>1436</v>
      </c>
      <c r="C1888" s="35" t="str">
        <f aca="false">"0017134"</f>
        <v>0017134</v>
      </c>
      <c r="D1888" s="37" t="s">
        <v>1521</v>
      </c>
      <c r="E1888" s="35" t="n">
        <v>1987</v>
      </c>
      <c r="F1888" s="38" t="n">
        <f aca="false">4885.71*1.2</f>
        <v>5862.852</v>
      </c>
      <c r="G1888" s="39" t="n">
        <v>1</v>
      </c>
      <c r="H1888" s="40" t="n">
        <v>290</v>
      </c>
    </row>
    <row r="1889" s="33" customFormat="true" ht="14.25" hidden="false" customHeight="false" outlineLevel="0" collapsed="false">
      <c r="A1889" s="34" t="n">
        <f aca="false">A1888+1</f>
        <v>1884</v>
      </c>
      <c r="B1889" s="35" t="s">
        <v>1436</v>
      </c>
      <c r="C1889" s="35" t="str">
        <f aca="false">"0017135"</f>
        <v>0017135</v>
      </c>
      <c r="D1889" s="37" t="s">
        <v>1522</v>
      </c>
      <c r="E1889" s="35" t="n">
        <v>1987</v>
      </c>
      <c r="F1889" s="38" t="n">
        <f aca="false">4885.71*1.2</f>
        <v>5862.852</v>
      </c>
      <c r="G1889" s="39" t="n">
        <v>1</v>
      </c>
      <c r="H1889" s="40" t="n">
        <v>290</v>
      </c>
    </row>
    <row r="1890" s="33" customFormat="true" ht="14.25" hidden="false" customHeight="false" outlineLevel="0" collapsed="false">
      <c r="A1890" s="34" t="n">
        <f aca="false">A1889+1</f>
        <v>1885</v>
      </c>
      <c r="B1890" s="35" t="s">
        <v>1436</v>
      </c>
      <c r="C1890" s="35" t="str">
        <f aca="false">"0017137"</f>
        <v>0017137</v>
      </c>
      <c r="D1890" s="37" t="s">
        <v>1523</v>
      </c>
      <c r="E1890" s="35" t="n">
        <v>1987</v>
      </c>
      <c r="F1890" s="38" t="n">
        <f aca="false">4885.71*1.2</f>
        <v>5862.852</v>
      </c>
      <c r="G1890" s="39" t="n">
        <v>1</v>
      </c>
      <c r="H1890" s="40" t="n">
        <v>290</v>
      </c>
    </row>
    <row r="1891" s="33" customFormat="true" ht="14.25" hidden="false" customHeight="false" outlineLevel="0" collapsed="false">
      <c r="A1891" s="34" t="n">
        <f aca="false">A1890+1</f>
        <v>1886</v>
      </c>
      <c r="B1891" s="35" t="s">
        <v>1436</v>
      </c>
      <c r="C1891" s="35" t="str">
        <f aca="false">"0017138"</f>
        <v>0017138</v>
      </c>
      <c r="D1891" s="37" t="s">
        <v>1524</v>
      </c>
      <c r="E1891" s="35" t="n">
        <v>1987</v>
      </c>
      <c r="F1891" s="38" t="n">
        <f aca="false">4885.71*1.2</f>
        <v>5862.852</v>
      </c>
      <c r="G1891" s="39" t="n">
        <v>1</v>
      </c>
      <c r="H1891" s="40" t="n">
        <v>290</v>
      </c>
    </row>
    <row r="1892" s="33" customFormat="true" ht="14.25" hidden="false" customHeight="false" outlineLevel="0" collapsed="false">
      <c r="A1892" s="34" t="n">
        <f aca="false">A1891+1</f>
        <v>1887</v>
      </c>
      <c r="B1892" s="35" t="s">
        <v>1436</v>
      </c>
      <c r="C1892" s="35" t="str">
        <f aca="false">"0017139"</f>
        <v>0017139</v>
      </c>
      <c r="D1892" s="37" t="s">
        <v>1525</v>
      </c>
      <c r="E1892" s="35" t="n">
        <v>1987</v>
      </c>
      <c r="F1892" s="38" t="n">
        <f aca="false">4885.71*1.2</f>
        <v>5862.852</v>
      </c>
      <c r="G1892" s="39" t="n">
        <v>2</v>
      </c>
      <c r="H1892" s="40" t="n">
        <v>580</v>
      </c>
    </row>
    <row r="1893" s="33" customFormat="true" ht="14.25" hidden="false" customHeight="false" outlineLevel="0" collapsed="false">
      <c r="A1893" s="34" t="n">
        <f aca="false">A1892+1</f>
        <v>1888</v>
      </c>
      <c r="B1893" s="35" t="s">
        <v>1436</v>
      </c>
      <c r="C1893" s="35" t="str">
        <f aca="false">"0017141"</f>
        <v>0017141</v>
      </c>
      <c r="D1893" s="37" t="s">
        <v>1526</v>
      </c>
      <c r="E1893" s="35" t="n">
        <v>1987</v>
      </c>
      <c r="F1893" s="38" t="n">
        <f aca="false">4885.71*1.2</f>
        <v>5862.852</v>
      </c>
      <c r="G1893" s="39" t="n">
        <v>2</v>
      </c>
      <c r="H1893" s="40" t="n">
        <v>580</v>
      </c>
    </row>
    <row r="1894" s="33" customFormat="true" ht="14.25" hidden="false" customHeight="false" outlineLevel="0" collapsed="false">
      <c r="A1894" s="34" t="n">
        <f aca="false">A1893+1</f>
        <v>1889</v>
      </c>
      <c r="B1894" s="35" t="s">
        <v>1436</v>
      </c>
      <c r="C1894" s="35" t="str">
        <f aca="false">"0017257"</f>
        <v>0017257</v>
      </c>
      <c r="D1894" s="37" t="s">
        <v>1527</v>
      </c>
      <c r="E1894" s="35" t="n">
        <v>1987</v>
      </c>
      <c r="F1894" s="38" t="n">
        <f aca="false">14657.13*1.2</f>
        <v>17588.556</v>
      </c>
      <c r="G1894" s="39" t="n">
        <v>1</v>
      </c>
      <c r="H1894" s="40" t="n">
        <v>870</v>
      </c>
    </row>
    <row r="1895" s="33" customFormat="true" ht="14.25" hidden="false" customHeight="false" outlineLevel="0" collapsed="false">
      <c r="A1895" s="34" t="n">
        <f aca="false">A1894+1</f>
        <v>1890</v>
      </c>
      <c r="B1895" s="35" t="s">
        <v>1436</v>
      </c>
      <c r="C1895" s="35" t="str">
        <f aca="false">"0017259"</f>
        <v>0017259</v>
      </c>
      <c r="D1895" s="37" t="s">
        <v>1528</v>
      </c>
      <c r="E1895" s="35" t="n">
        <v>1987</v>
      </c>
      <c r="F1895" s="38" t="n">
        <f aca="false">9771.42*1.2</f>
        <v>11725.704</v>
      </c>
      <c r="G1895" s="39" t="n">
        <v>1</v>
      </c>
      <c r="H1895" s="40" t="n">
        <v>580</v>
      </c>
    </row>
    <row r="1896" s="33" customFormat="true" ht="14.25" hidden="false" customHeight="false" outlineLevel="0" collapsed="false">
      <c r="A1896" s="34" t="n">
        <f aca="false">A1895+1</f>
        <v>1891</v>
      </c>
      <c r="B1896" s="35" t="s">
        <v>1436</v>
      </c>
      <c r="C1896" s="35" t="str">
        <f aca="false">"0017261"</f>
        <v>0017261</v>
      </c>
      <c r="D1896" s="37" t="s">
        <v>1529</v>
      </c>
      <c r="E1896" s="35" t="n">
        <v>1987</v>
      </c>
      <c r="F1896" s="38" t="n">
        <f aca="false">9771.42*1.2</f>
        <v>11725.704</v>
      </c>
      <c r="G1896" s="39" t="n">
        <v>1</v>
      </c>
      <c r="H1896" s="40" t="n">
        <v>580</v>
      </c>
    </row>
    <row r="1897" s="33" customFormat="true" ht="14.25" hidden="false" customHeight="false" outlineLevel="0" collapsed="false">
      <c r="A1897" s="34" t="n">
        <f aca="false">A1896+1</f>
        <v>1892</v>
      </c>
      <c r="B1897" s="35" t="s">
        <v>1436</v>
      </c>
      <c r="C1897" s="35" t="str">
        <f aca="false">"0017279"</f>
        <v>0017279</v>
      </c>
      <c r="D1897" s="37" t="s">
        <v>1530</v>
      </c>
      <c r="E1897" s="35" t="n">
        <v>1987</v>
      </c>
      <c r="F1897" s="38" t="n">
        <f aca="false">9771.42*1.2</f>
        <v>11725.704</v>
      </c>
      <c r="G1897" s="39" t="n">
        <v>2</v>
      </c>
      <c r="H1897" s="40" t="n">
        <v>1160</v>
      </c>
    </row>
    <row r="1898" s="33" customFormat="true" ht="14.25" hidden="false" customHeight="false" outlineLevel="0" collapsed="false">
      <c r="A1898" s="34" t="n">
        <f aca="false">A1897+1</f>
        <v>1893</v>
      </c>
      <c r="B1898" s="35" t="s">
        <v>1436</v>
      </c>
      <c r="C1898" s="35" t="str">
        <f aca="false">"0017313"</f>
        <v>0017313</v>
      </c>
      <c r="D1898" s="37" t="s">
        <v>1531</v>
      </c>
      <c r="E1898" s="35" t="n">
        <v>1987</v>
      </c>
      <c r="F1898" s="38" t="n">
        <f aca="false">2442.86*1.2</f>
        <v>2931.432</v>
      </c>
      <c r="G1898" s="39" t="n">
        <v>1</v>
      </c>
      <c r="H1898" s="40" t="n">
        <v>145</v>
      </c>
    </row>
    <row r="1899" s="33" customFormat="true" ht="14.25" hidden="false" customHeight="false" outlineLevel="0" collapsed="false">
      <c r="A1899" s="34" t="n">
        <f aca="false">A1898+1</f>
        <v>1894</v>
      </c>
      <c r="B1899" s="35" t="s">
        <v>1436</v>
      </c>
      <c r="C1899" s="35" t="str">
        <f aca="false">"0017516"</f>
        <v>0017516</v>
      </c>
      <c r="D1899" s="37" t="s">
        <v>1524</v>
      </c>
      <c r="E1899" s="35" t="n">
        <v>1987</v>
      </c>
      <c r="F1899" s="38" t="n">
        <f aca="false">4885.71*1.2</f>
        <v>5862.852</v>
      </c>
      <c r="G1899" s="39" t="n">
        <v>1</v>
      </c>
      <c r="H1899" s="40" t="n">
        <v>290</v>
      </c>
    </row>
    <row r="1900" s="33" customFormat="true" ht="14.25" hidden="false" customHeight="false" outlineLevel="0" collapsed="false">
      <c r="A1900" s="34" t="n">
        <f aca="false">A1899+1</f>
        <v>1895</v>
      </c>
      <c r="B1900" s="35" t="s">
        <v>1436</v>
      </c>
      <c r="C1900" s="35" t="str">
        <f aca="false">"0017283"</f>
        <v>0017283</v>
      </c>
      <c r="D1900" s="37" t="s">
        <v>1532</v>
      </c>
      <c r="E1900" s="35" t="n">
        <v>1987</v>
      </c>
      <c r="F1900" s="38" t="n">
        <f aca="false">2442.86*1.2</f>
        <v>2931.432</v>
      </c>
      <c r="G1900" s="39" t="n">
        <v>4</v>
      </c>
      <c r="H1900" s="40" t="n">
        <v>580</v>
      </c>
    </row>
    <row r="1901" s="33" customFormat="true" ht="14.25" hidden="false" customHeight="false" outlineLevel="0" collapsed="false">
      <c r="A1901" s="34" t="n">
        <f aca="false">A1900+1</f>
        <v>1896</v>
      </c>
      <c r="B1901" s="35" t="s">
        <v>1436</v>
      </c>
      <c r="C1901" s="35" t="str">
        <f aca="false">"0017600"</f>
        <v>0017600</v>
      </c>
      <c r="D1901" s="37" t="s">
        <v>1533</v>
      </c>
      <c r="E1901" s="35" t="n">
        <v>1987</v>
      </c>
      <c r="F1901" s="38" t="n">
        <f aca="false">4885.71*1.2</f>
        <v>5862.852</v>
      </c>
      <c r="G1901" s="39" t="n">
        <v>1</v>
      </c>
      <c r="H1901" s="40" t="n">
        <v>290</v>
      </c>
    </row>
    <row r="1902" s="33" customFormat="true" ht="14.25" hidden="false" customHeight="false" outlineLevel="0" collapsed="false">
      <c r="A1902" s="34" t="n">
        <f aca="false">A1901+1</f>
        <v>1897</v>
      </c>
      <c r="B1902" s="35" t="s">
        <v>1436</v>
      </c>
      <c r="C1902" s="35" t="str">
        <f aca="false">"0021008"</f>
        <v>0021008</v>
      </c>
      <c r="D1902" s="37" t="s">
        <v>1534</v>
      </c>
      <c r="E1902" s="35" t="n">
        <v>1979</v>
      </c>
      <c r="F1902" s="38" t="n">
        <v>894.96</v>
      </c>
      <c r="G1902" s="39" t="n">
        <v>1</v>
      </c>
      <c r="H1902" s="40" t="n">
        <v>30</v>
      </c>
    </row>
    <row r="1903" s="33" customFormat="true" ht="14.25" hidden="false" customHeight="false" outlineLevel="0" collapsed="false">
      <c r="A1903" s="34" t="n">
        <f aca="false">A1902+1</f>
        <v>1898</v>
      </c>
      <c r="B1903" s="35" t="s">
        <v>1436</v>
      </c>
      <c r="C1903" s="35" t="str">
        <f aca="false">"0021386"</f>
        <v>0021386</v>
      </c>
      <c r="D1903" s="37" t="s">
        <v>1535</v>
      </c>
      <c r="E1903" s="35" t="n">
        <v>1979</v>
      </c>
      <c r="F1903" s="38" t="n">
        <v>1975.67</v>
      </c>
      <c r="G1903" s="39" t="n">
        <v>1</v>
      </c>
      <c r="H1903" s="40" t="n">
        <v>80</v>
      </c>
    </row>
    <row r="1904" s="33" customFormat="true" ht="14.25" hidden="false" customHeight="false" outlineLevel="0" collapsed="false">
      <c r="A1904" s="34" t="n">
        <f aca="false">A1903+1</f>
        <v>1899</v>
      </c>
      <c r="B1904" s="35" t="s">
        <v>1436</v>
      </c>
      <c r="C1904" s="35" t="str">
        <f aca="false">"0021659"</f>
        <v>0021659</v>
      </c>
      <c r="D1904" s="37" t="s">
        <v>1251</v>
      </c>
      <c r="E1904" s="35" t="n">
        <v>1980</v>
      </c>
      <c r="F1904" s="38" t="n">
        <v>529.1</v>
      </c>
      <c r="G1904" s="39" t="n">
        <v>39</v>
      </c>
      <c r="H1904" s="40" t="n">
        <v>780</v>
      </c>
    </row>
    <row r="1905" s="33" customFormat="true" ht="14.25" hidden="false" customHeight="false" outlineLevel="0" collapsed="false">
      <c r="A1905" s="34" t="n">
        <f aca="false">A1904+1</f>
        <v>1900</v>
      </c>
      <c r="B1905" s="35" t="s">
        <v>1436</v>
      </c>
      <c r="C1905" s="35" t="str">
        <f aca="false">"0022589"</f>
        <v>0022589</v>
      </c>
      <c r="D1905" s="37" t="s">
        <v>42</v>
      </c>
      <c r="E1905" s="35" t="n">
        <v>1981</v>
      </c>
      <c r="F1905" s="38" t="n">
        <v>3968.23</v>
      </c>
      <c r="G1905" s="39" t="n">
        <v>4</v>
      </c>
      <c r="H1905" s="40" t="n">
        <v>680</v>
      </c>
    </row>
    <row r="1906" s="33" customFormat="true" ht="14.25" hidden="false" customHeight="false" outlineLevel="0" collapsed="false">
      <c r="A1906" s="34" t="n">
        <f aca="false">A1905+1</f>
        <v>1901</v>
      </c>
      <c r="B1906" s="35" t="s">
        <v>1436</v>
      </c>
      <c r="C1906" s="35" t="str">
        <f aca="false">"0023030"</f>
        <v>0023030</v>
      </c>
      <c r="D1906" s="37" t="s">
        <v>1536</v>
      </c>
      <c r="E1906" s="35" t="n">
        <v>1982</v>
      </c>
      <c r="F1906" s="38" t="n">
        <v>658.56</v>
      </c>
      <c r="G1906" s="39" t="n">
        <v>1</v>
      </c>
      <c r="H1906" s="40" t="n">
        <v>30</v>
      </c>
    </row>
    <row r="1907" s="33" customFormat="true" ht="14.25" hidden="false" customHeight="false" outlineLevel="0" collapsed="false">
      <c r="A1907" s="34" t="n">
        <f aca="false">A1906+1</f>
        <v>1902</v>
      </c>
      <c r="B1907" s="35" t="s">
        <v>1436</v>
      </c>
      <c r="C1907" s="35" t="str">
        <f aca="false">"0023476"</f>
        <v>0023476</v>
      </c>
      <c r="D1907" s="37" t="s">
        <v>308</v>
      </c>
      <c r="E1907" s="35" t="n">
        <v>1982</v>
      </c>
      <c r="F1907" s="38" t="n">
        <v>3968.23</v>
      </c>
      <c r="G1907" s="39" t="n">
        <v>1</v>
      </c>
      <c r="H1907" s="40" t="n">
        <v>170</v>
      </c>
    </row>
    <row r="1908" s="33" customFormat="true" ht="14.25" hidden="false" customHeight="false" outlineLevel="0" collapsed="false">
      <c r="A1908" s="34" t="n">
        <f aca="false">A1907+1</f>
        <v>1903</v>
      </c>
      <c r="B1908" s="35" t="s">
        <v>1436</v>
      </c>
      <c r="C1908" s="35" t="str">
        <f aca="false">"0023511"</f>
        <v>0023511</v>
      </c>
      <c r="D1908" s="37" t="s">
        <v>191</v>
      </c>
      <c r="E1908" s="35" t="n">
        <v>1982</v>
      </c>
      <c r="F1908" s="38" t="n">
        <v>1317.12</v>
      </c>
      <c r="G1908" s="39" t="n">
        <v>1</v>
      </c>
      <c r="H1908" s="40" t="n">
        <v>50</v>
      </c>
    </row>
    <row r="1909" s="33" customFormat="true" ht="14.25" hidden="false" customHeight="false" outlineLevel="0" collapsed="false">
      <c r="A1909" s="34" t="n">
        <f aca="false">A1908+1</f>
        <v>1904</v>
      </c>
      <c r="B1909" s="35" t="s">
        <v>1436</v>
      </c>
      <c r="C1909" s="35" t="str">
        <f aca="false">"0024978"</f>
        <v>0024978</v>
      </c>
      <c r="D1909" s="37" t="s">
        <v>1537</v>
      </c>
      <c r="E1909" s="35" t="n">
        <v>1984</v>
      </c>
      <c r="F1909" s="38" t="n">
        <v>6608.09</v>
      </c>
      <c r="G1909" s="39" t="n">
        <v>3</v>
      </c>
      <c r="H1909" s="40" t="n">
        <v>900</v>
      </c>
    </row>
    <row r="1910" s="33" customFormat="true" ht="14.25" hidden="false" customHeight="false" outlineLevel="0" collapsed="false">
      <c r="A1910" s="34" t="n">
        <f aca="false">A1909+1</f>
        <v>1905</v>
      </c>
      <c r="B1910" s="35" t="s">
        <v>1436</v>
      </c>
      <c r="C1910" s="35" t="str">
        <f aca="false">"0027959"</f>
        <v>0027959</v>
      </c>
      <c r="D1910" s="37" t="s">
        <v>1251</v>
      </c>
      <c r="E1910" s="35" t="n">
        <v>1987</v>
      </c>
      <c r="F1910" s="38" t="n">
        <v>1795.56</v>
      </c>
      <c r="G1910" s="39" t="n">
        <v>3</v>
      </c>
      <c r="H1910" s="40" t="n">
        <v>270</v>
      </c>
    </row>
    <row r="1911" s="33" customFormat="true" ht="14.25" hidden="false" customHeight="false" outlineLevel="0" collapsed="false">
      <c r="A1911" s="34" t="n">
        <f aca="false">A1910+1</f>
        <v>1906</v>
      </c>
      <c r="B1911" s="35" t="s">
        <v>1436</v>
      </c>
      <c r="C1911" s="35" t="str">
        <f aca="false">"0029387"</f>
        <v>0029387</v>
      </c>
      <c r="D1911" s="37" t="s">
        <v>42</v>
      </c>
      <c r="E1911" s="35" t="n">
        <v>1987</v>
      </c>
      <c r="F1911" s="38" t="n">
        <v>2645.49</v>
      </c>
      <c r="G1911" s="39" t="n">
        <v>1</v>
      </c>
      <c r="H1911" s="40" t="n">
        <v>120</v>
      </c>
    </row>
    <row r="1912" s="33" customFormat="true" ht="14.25" hidden="false" customHeight="false" outlineLevel="0" collapsed="false">
      <c r="A1912" s="46" t="n">
        <f aca="false">A1911+1</f>
        <v>1907</v>
      </c>
      <c r="B1912" s="35" t="s">
        <v>1436</v>
      </c>
      <c r="C1912" s="35" t="str">
        <f aca="false">"0039403"</f>
        <v>0039403</v>
      </c>
      <c r="D1912" s="37" t="s">
        <v>1538</v>
      </c>
      <c r="E1912" s="35" t="n">
        <v>2009</v>
      </c>
      <c r="F1912" s="38" t="n">
        <v>652973.02</v>
      </c>
      <c r="G1912" s="39" t="n">
        <v>1</v>
      </c>
      <c r="H1912" s="40" t="n">
        <v>130600</v>
      </c>
    </row>
    <row r="1913" s="33" customFormat="true" ht="14.25" hidden="false" customHeight="false" outlineLevel="0" collapsed="false">
      <c r="A1913" s="46" t="n">
        <f aca="false">A1912+1</f>
        <v>1908</v>
      </c>
      <c r="B1913" s="35" t="s">
        <v>1436</v>
      </c>
      <c r="C1913" s="35" t="str">
        <f aca="false">"0040178"</f>
        <v>0040178</v>
      </c>
      <c r="D1913" s="37" t="s">
        <v>1539</v>
      </c>
      <c r="E1913" s="35" t="n">
        <v>2009</v>
      </c>
      <c r="F1913" s="38" t="n">
        <v>7816347.62</v>
      </c>
      <c r="G1913" s="39" t="n">
        <v>1</v>
      </c>
      <c r="H1913" s="40" t="n">
        <v>1075500</v>
      </c>
    </row>
    <row r="1914" s="33" customFormat="true" ht="14.25" hidden="false" customHeight="false" outlineLevel="0" collapsed="false">
      <c r="A1914" s="46" t="n">
        <f aca="false">A1913+1</f>
        <v>1909</v>
      </c>
      <c r="B1914" s="35" t="s">
        <v>1436</v>
      </c>
      <c r="C1914" s="35" t="str">
        <f aca="false">"0042196"</f>
        <v>0042196</v>
      </c>
      <c r="D1914" s="37" t="s">
        <v>1540</v>
      </c>
      <c r="E1914" s="35" t="n">
        <v>2012</v>
      </c>
      <c r="F1914" s="38" t="n">
        <v>5417990.95</v>
      </c>
      <c r="G1914" s="39" t="n">
        <v>1</v>
      </c>
      <c r="H1914" s="40" t="n">
        <v>1278650</v>
      </c>
    </row>
    <row r="1915" s="33" customFormat="true" ht="14.25" hidden="false" customHeight="false" outlineLevel="0" collapsed="false">
      <c r="A1915" s="34" t="n">
        <f aca="false">A1914+1</f>
        <v>1910</v>
      </c>
      <c r="B1915" s="35" t="s">
        <v>1436</v>
      </c>
      <c r="C1915" s="35" t="str">
        <f aca="false">"0042198"</f>
        <v>0042198</v>
      </c>
      <c r="D1915" s="37" t="s">
        <v>1541</v>
      </c>
      <c r="E1915" s="35" t="n">
        <v>2012</v>
      </c>
      <c r="F1915" s="38" t="n">
        <v>5228.41</v>
      </c>
      <c r="G1915" s="39" t="n">
        <v>1</v>
      </c>
      <c r="H1915" s="40" t="n">
        <v>950</v>
      </c>
    </row>
    <row r="1916" s="33" customFormat="true" ht="14.25" hidden="false" customHeight="false" outlineLevel="0" collapsed="false">
      <c r="A1916" s="34" t="n">
        <f aca="false">A1915+1</f>
        <v>1911</v>
      </c>
      <c r="B1916" s="35" t="s">
        <v>1436</v>
      </c>
      <c r="C1916" s="35" t="str">
        <f aca="false">"0049817"</f>
        <v>0049817</v>
      </c>
      <c r="D1916" s="37" t="s">
        <v>181</v>
      </c>
      <c r="E1916" s="35" t="n">
        <v>1987</v>
      </c>
      <c r="F1916" s="38" t="n">
        <v>821.44</v>
      </c>
      <c r="G1916" s="39" t="n">
        <v>2</v>
      </c>
      <c r="H1916" s="40" t="n">
        <v>80</v>
      </c>
    </row>
    <row r="1917" s="33" customFormat="true" ht="14.25" hidden="false" customHeight="false" outlineLevel="0" collapsed="false">
      <c r="A1917" s="34" t="n">
        <f aca="false">A1916+1</f>
        <v>1912</v>
      </c>
      <c r="B1917" s="35" t="s">
        <v>1542</v>
      </c>
      <c r="C1917" s="35" t="str">
        <f aca="false">"0000284"</f>
        <v>0000284</v>
      </c>
      <c r="D1917" s="37" t="s">
        <v>1347</v>
      </c>
      <c r="E1917" s="35" t="n">
        <v>1987</v>
      </c>
      <c r="F1917" s="38" t="n">
        <f aca="false">24422.93*1.2</f>
        <v>29307.516</v>
      </c>
      <c r="G1917" s="39" t="n">
        <v>1</v>
      </c>
      <c r="H1917" s="40" t="n">
        <v>1450</v>
      </c>
    </row>
    <row r="1918" s="33" customFormat="true" ht="14.25" hidden="false" customHeight="false" outlineLevel="0" collapsed="false">
      <c r="A1918" s="34" t="n">
        <f aca="false">A1917+1</f>
        <v>1913</v>
      </c>
      <c r="B1918" s="35" t="s">
        <v>1542</v>
      </c>
      <c r="C1918" s="35" t="str">
        <f aca="false">"0001359"</f>
        <v>0001359</v>
      </c>
      <c r="D1918" s="37" t="s">
        <v>1543</v>
      </c>
      <c r="E1918" s="35" t="n">
        <v>1987</v>
      </c>
      <c r="F1918" s="38" t="n">
        <f aca="false">244257.44*1.2</f>
        <v>293108.928</v>
      </c>
      <c r="G1918" s="39" t="n">
        <v>1</v>
      </c>
      <c r="H1918" s="40" t="n">
        <v>15380</v>
      </c>
    </row>
    <row r="1919" s="33" customFormat="true" ht="14.25" hidden="false" customHeight="false" outlineLevel="0" collapsed="false">
      <c r="A1919" s="34" t="n">
        <f aca="false">A1918+1</f>
        <v>1914</v>
      </c>
      <c r="B1919" s="35" t="s">
        <v>1542</v>
      </c>
      <c r="C1919" s="35" t="str">
        <f aca="false">"0001709"</f>
        <v>0001709</v>
      </c>
      <c r="D1919" s="37" t="s">
        <v>1431</v>
      </c>
      <c r="E1919" s="35" t="n">
        <v>1987</v>
      </c>
      <c r="F1919" s="38" t="n">
        <f aca="false">24422.93*1.2</f>
        <v>29307.516</v>
      </c>
      <c r="G1919" s="39" t="n">
        <v>1</v>
      </c>
      <c r="H1919" s="40" t="n">
        <v>1450</v>
      </c>
    </row>
    <row r="1920" s="33" customFormat="true" ht="14.25" hidden="false" customHeight="false" outlineLevel="0" collapsed="false">
      <c r="A1920" s="34" t="n">
        <f aca="false">A1919+1</f>
        <v>1915</v>
      </c>
      <c r="B1920" s="35" t="s">
        <v>1542</v>
      </c>
      <c r="C1920" s="35" t="str">
        <f aca="false">"0002080"</f>
        <v>0002080</v>
      </c>
      <c r="D1920" s="37" t="s">
        <v>1453</v>
      </c>
      <c r="E1920" s="35" t="n">
        <v>1987</v>
      </c>
      <c r="F1920" s="38" t="n">
        <f aca="false">341960.41*1.2</f>
        <v>410352.492</v>
      </c>
      <c r="G1920" s="39" t="n">
        <v>1</v>
      </c>
      <c r="H1920" s="40" t="n">
        <v>21540</v>
      </c>
    </row>
    <row r="1921" s="33" customFormat="true" ht="14.25" hidden="false" customHeight="false" outlineLevel="0" collapsed="false">
      <c r="A1921" s="34" t="n">
        <f aca="false">A1920+1</f>
        <v>1916</v>
      </c>
      <c r="B1921" s="35" t="s">
        <v>1542</v>
      </c>
      <c r="C1921" s="35" t="str">
        <f aca="false">"0002121"</f>
        <v>0002121</v>
      </c>
      <c r="D1921" s="37" t="s">
        <v>1180</v>
      </c>
      <c r="E1921" s="35" t="n">
        <v>1987</v>
      </c>
      <c r="F1921" s="38" t="n">
        <f aca="false">48851.49*1.2</f>
        <v>58621.788</v>
      </c>
      <c r="G1921" s="39" t="n">
        <v>1</v>
      </c>
      <c r="H1921" s="40" t="n">
        <v>2910</v>
      </c>
    </row>
    <row r="1922" s="33" customFormat="true" ht="14.25" hidden="false" customHeight="false" outlineLevel="0" collapsed="false">
      <c r="A1922" s="34" t="n">
        <f aca="false">A1921+1</f>
        <v>1917</v>
      </c>
      <c r="B1922" s="35" t="s">
        <v>1542</v>
      </c>
      <c r="C1922" s="35" t="str">
        <f aca="false">"0002866"</f>
        <v>0002866</v>
      </c>
      <c r="D1922" s="37" t="s">
        <v>1228</v>
      </c>
      <c r="E1922" s="35" t="n">
        <v>2002</v>
      </c>
      <c r="F1922" s="38" t="n">
        <v>6676.6</v>
      </c>
      <c r="G1922" s="39" t="n">
        <v>1</v>
      </c>
      <c r="H1922" s="40" t="n">
        <v>400</v>
      </c>
    </row>
    <row r="1923" s="33" customFormat="true" ht="14.25" hidden="false" customHeight="false" outlineLevel="0" collapsed="false">
      <c r="A1923" s="34" t="n">
        <f aca="false">A1922+1</f>
        <v>1918</v>
      </c>
      <c r="B1923" s="35" t="s">
        <v>1542</v>
      </c>
      <c r="C1923" s="35" t="str">
        <f aca="false">"0003021"</f>
        <v>0003021</v>
      </c>
      <c r="D1923" s="37" t="s">
        <v>1544</v>
      </c>
      <c r="E1923" s="35" t="n">
        <v>1987</v>
      </c>
      <c r="F1923" s="38" t="n">
        <f aca="false">73274.42*1.2</f>
        <v>87929.304</v>
      </c>
      <c r="G1923" s="39" t="n">
        <v>1</v>
      </c>
      <c r="H1923" s="44" t="s">
        <v>121</v>
      </c>
    </row>
    <row r="1924" s="33" customFormat="true" ht="14.25" hidden="false" customHeight="false" outlineLevel="0" collapsed="false">
      <c r="A1924" s="34" t="n">
        <f aca="false">A1923+1</f>
        <v>1919</v>
      </c>
      <c r="B1924" s="35" t="s">
        <v>1542</v>
      </c>
      <c r="C1924" s="35" t="str">
        <f aca="false">"0003500"</f>
        <v>0003500</v>
      </c>
      <c r="D1924" s="37" t="s">
        <v>1545</v>
      </c>
      <c r="E1924" s="35" t="n">
        <v>1987</v>
      </c>
      <c r="F1924" s="38" t="n">
        <f aca="false">97702.97*1.2</f>
        <v>117243.564</v>
      </c>
      <c r="G1924" s="39" t="n">
        <v>1</v>
      </c>
      <c r="H1924" s="40" t="n">
        <v>5815</v>
      </c>
    </row>
    <row r="1925" s="33" customFormat="true" ht="14.25" hidden="false" customHeight="false" outlineLevel="0" collapsed="false">
      <c r="A1925" s="34" t="n">
        <f aca="false">A1924+1</f>
        <v>1920</v>
      </c>
      <c r="B1925" s="35" t="s">
        <v>1542</v>
      </c>
      <c r="C1925" s="35" t="str">
        <f aca="false">"0004129"</f>
        <v>0004129</v>
      </c>
      <c r="D1925" s="37" t="s">
        <v>42</v>
      </c>
      <c r="E1925" s="35" t="n">
        <v>1987</v>
      </c>
      <c r="F1925" s="38" t="n">
        <v>67.54</v>
      </c>
      <c r="G1925" s="39" t="n">
        <v>1</v>
      </c>
      <c r="H1925" s="40" t="n">
        <v>5</v>
      </c>
    </row>
    <row r="1926" s="33" customFormat="true" ht="14.25" hidden="false" customHeight="false" outlineLevel="0" collapsed="false">
      <c r="A1926" s="34" t="n">
        <f aca="false">A1925+1</f>
        <v>1921</v>
      </c>
      <c r="B1926" s="35" t="s">
        <v>1542</v>
      </c>
      <c r="C1926" s="35" t="str">
        <f aca="false">"0004307"</f>
        <v>0004307</v>
      </c>
      <c r="D1926" s="37" t="s">
        <v>1546</v>
      </c>
      <c r="E1926" s="35" t="n">
        <v>1977</v>
      </c>
      <c r="F1926" s="38" t="n">
        <f aca="false">41000*7.5</f>
        <v>307500</v>
      </c>
      <c r="G1926" s="39" t="n">
        <v>1</v>
      </c>
      <c r="H1926" s="40" t="n">
        <v>12300</v>
      </c>
    </row>
    <row r="1927" s="33" customFormat="true" ht="14.25" hidden="false" customHeight="false" outlineLevel="0" collapsed="false">
      <c r="A1927" s="34" t="n">
        <f aca="false">A1926+1</f>
        <v>1922</v>
      </c>
      <c r="B1927" s="35" t="s">
        <v>1542</v>
      </c>
      <c r="C1927" s="35" t="str">
        <f aca="false">"0004517"</f>
        <v>0004517</v>
      </c>
      <c r="D1927" s="37" t="s">
        <v>1251</v>
      </c>
      <c r="E1927" s="35" t="n">
        <v>1987</v>
      </c>
      <c r="F1927" s="38" t="n">
        <v>106.95</v>
      </c>
      <c r="G1927" s="39" t="n">
        <v>8</v>
      </c>
      <c r="H1927" s="40" t="n">
        <v>40</v>
      </c>
    </row>
    <row r="1928" s="33" customFormat="true" ht="14.25" hidden="false" customHeight="false" outlineLevel="0" collapsed="false">
      <c r="A1928" s="34" t="n">
        <f aca="false">A1927+1</f>
        <v>1923</v>
      </c>
      <c r="B1928" s="35" t="s">
        <v>1542</v>
      </c>
      <c r="C1928" s="35" t="str">
        <f aca="false">"0004576"</f>
        <v>0004576</v>
      </c>
      <c r="D1928" s="37" t="s">
        <v>191</v>
      </c>
      <c r="E1928" s="35" t="n">
        <v>1987</v>
      </c>
      <c r="F1928" s="38" t="n">
        <f aca="false">1902.5*1.2</f>
        <v>2283</v>
      </c>
      <c r="G1928" s="39" t="n">
        <v>20</v>
      </c>
      <c r="H1928" s="40" t="n">
        <v>2200</v>
      </c>
    </row>
    <row r="1929" s="33" customFormat="true" ht="14.25" hidden="false" customHeight="false" outlineLevel="0" collapsed="false">
      <c r="A1929" s="34" t="n">
        <f aca="false">A1928+1</f>
        <v>1924</v>
      </c>
      <c r="B1929" s="35" t="s">
        <v>1542</v>
      </c>
      <c r="C1929" s="35" t="str">
        <f aca="false">"0004891"</f>
        <v>0004891</v>
      </c>
      <c r="D1929" s="37" t="s">
        <v>1251</v>
      </c>
      <c r="E1929" s="35" t="n">
        <v>1987</v>
      </c>
      <c r="F1929" s="38" t="n">
        <v>112.57</v>
      </c>
      <c r="G1929" s="39" t="n">
        <v>2</v>
      </c>
      <c r="H1929" s="40" t="n">
        <v>10</v>
      </c>
    </row>
    <row r="1930" s="33" customFormat="true" ht="14.25" hidden="false" customHeight="false" outlineLevel="0" collapsed="false">
      <c r="A1930" s="34" t="n">
        <f aca="false">A1929+1</f>
        <v>1925</v>
      </c>
      <c r="B1930" s="35" t="s">
        <v>1542</v>
      </c>
      <c r="C1930" s="35" t="str">
        <f aca="false">"0004927"</f>
        <v>0004927</v>
      </c>
      <c r="D1930" s="37" t="s">
        <v>1196</v>
      </c>
      <c r="E1930" s="35" t="n">
        <v>1987</v>
      </c>
      <c r="F1930" s="38" t="n">
        <v>90.06</v>
      </c>
      <c r="G1930" s="39" t="n">
        <v>1</v>
      </c>
      <c r="H1930" s="40" t="n">
        <v>5</v>
      </c>
    </row>
    <row r="1931" s="33" customFormat="true" ht="14.25" hidden="false" customHeight="false" outlineLevel="0" collapsed="false">
      <c r="A1931" s="34" t="n">
        <f aca="false">A1930+1</f>
        <v>1926</v>
      </c>
      <c r="B1931" s="35" t="s">
        <v>1542</v>
      </c>
      <c r="C1931" s="35" t="str">
        <f aca="false">"0005128"</f>
        <v>0005128</v>
      </c>
      <c r="D1931" s="37" t="s">
        <v>301</v>
      </c>
      <c r="E1931" s="35" t="n">
        <v>1987</v>
      </c>
      <c r="F1931" s="38" t="n">
        <v>28.14</v>
      </c>
      <c r="G1931" s="39" t="n">
        <v>2</v>
      </c>
      <c r="H1931" s="40" t="n">
        <v>10</v>
      </c>
    </row>
    <row r="1932" s="33" customFormat="true" ht="14.25" hidden="false" customHeight="false" outlineLevel="0" collapsed="false">
      <c r="A1932" s="34" t="n">
        <f aca="false">A1931+1</f>
        <v>1927</v>
      </c>
      <c r="B1932" s="35" t="s">
        <v>1542</v>
      </c>
      <c r="C1932" s="35" t="str">
        <f aca="false">"0005955"</f>
        <v>0005955</v>
      </c>
      <c r="D1932" s="37" t="s">
        <v>1547</v>
      </c>
      <c r="E1932" s="35" t="n">
        <v>1984</v>
      </c>
      <c r="F1932" s="38" t="n">
        <f aca="false">31800*7.5</f>
        <v>238500</v>
      </c>
      <c r="G1932" s="39" t="n">
        <v>1</v>
      </c>
      <c r="H1932" s="40" t="n">
        <v>11140</v>
      </c>
    </row>
    <row r="1933" s="33" customFormat="true" ht="14.25" hidden="false" customHeight="false" outlineLevel="0" collapsed="false">
      <c r="A1933" s="34" t="n">
        <f aca="false">A1932+1</f>
        <v>1928</v>
      </c>
      <c r="B1933" s="35" t="s">
        <v>1542</v>
      </c>
      <c r="C1933" s="35" t="str">
        <f aca="false">"0006067"</f>
        <v>0006067</v>
      </c>
      <c r="D1933" s="37" t="s">
        <v>1548</v>
      </c>
      <c r="E1933" s="35" t="n">
        <v>1984</v>
      </c>
      <c r="F1933" s="38" t="n">
        <f aca="false">73274.42*1.2</f>
        <v>87929.304</v>
      </c>
      <c r="G1933" s="39" t="n">
        <v>1</v>
      </c>
      <c r="H1933" s="40" t="n">
        <v>4100</v>
      </c>
    </row>
    <row r="1934" s="33" customFormat="true" ht="14.25" hidden="false" customHeight="false" outlineLevel="0" collapsed="false">
      <c r="A1934" s="34" t="n">
        <f aca="false">A1933+1</f>
        <v>1929</v>
      </c>
      <c r="B1934" s="35" t="s">
        <v>1542</v>
      </c>
      <c r="C1934" s="35" t="str">
        <f aca="false">"0006163"</f>
        <v>0006163</v>
      </c>
      <c r="D1934" s="37" t="s">
        <v>1549</v>
      </c>
      <c r="E1934" s="35" t="n">
        <v>1985</v>
      </c>
      <c r="F1934" s="38" t="n">
        <f aca="false">146554.46*1.2</f>
        <v>175865.352</v>
      </c>
      <c r="G1934" s="39" t="n">
        <v>1</v>
      </c>
      <c r="H1934" s="40" t="n">
        <v>78400</v>
      </c>
    </row>
    <row r="1935" s="33" customFormat="true" ht="14.25" hidden="false" customHeight="false" outlineLevel="0" collapsed="false">
      <c r="A1935" s="46" t="n">
        <f aca="false">A1934+1</f>
        <v>1930</v>
      </c>
      <c r="B1935" s="35" t="s">
        <v>1542</v>
      </c>
      <c r="C1935" s="35" t="str">
        <f aca="false">"0006332"</f>
        <v>0006332</v>
      </c>
      <c r="D1935" s="37" t="s">
        <v>1550</v>
      </c>
      <c r="E1935" s="35" t="n">
        <v>1985</v>
      </c>
      <c r="F1935" s="38" t="n">
        <f aca="false">977029.75*1.2</f>
        <v>1172435.7</v>
      </c>
      <c r="G1935" s="39" t="n">
        <v>1</v>
      </c>
      <c r="H1935" s="40" t="n">
        <v>55900</v>
      </c>
    </row>
    <row r="1936" s="33" customFormat="true" ht="14.25" hidden="false" customHeight="false" outlineLevel="0" collapsed="false">
      <c r="A1936" s="34" t="n">
        <f aca="false">A1935+1</f>
        <v>1931</v>
      </c>
      <c r="B1936" s="35" t="s">
        <v>1542</v>
      </c>
      <c r="C1936" s="35" t="str">
        <f aca="false">"0007042"</f>
        <v>0007042</v>
      </c>
      <c r="D1936" s="37" t="s">
        <v>1551</v>
      </c>
      <c r="E1936" s="35" t="n">
        <v>1987</v>
      </c>
      <c r="F1936" s="38" t="n">
        <f aca="false">244257.44*1.2</f>
        <v>293108.928</v>
      </c>
      <c r="G1936" s="39" t="n">
        <v>2</v>
      </c>
      <c r="H1936" s="40" t="n">
        <v>29080</v>
      </c>
    </row>
    <row r="1937" s="33" customFormat="true" ht="14.25" hidden="false" customHeight="false" outlineLevel="0" collapsed="false">
      <c r="A1937" s="34" t="n">
        <f aca="false">A1936+1</f>
        <v>1932</v>
      </c>
      <c r="B1937" s="35" t="s">
        <v>1542</v>
      </c>
      <c r="C1937" s="35" t="str">
        <f aca="false">"0007073"</f>
        <v>0007073</v>
      </c>
      <c r="D1937" s="37" t="s">
        <v>1552</v>
      </c>
      <c r="E1937" s="35" t="n">
        <v>1986</v>
      </c>
      <c r="F1937" s="38" t="n">
        <f aca="false">26100*7.5</f>
        <v>195750</v>
      </c>
      <c r="G1937" s="39" t="n">
        <v>1</v>
      </c>
      <c r="H1937" s="40" t="n">
        <v>9520</v>
      </c>
    </row>
    <row r="1938" s="33" customFormat="true" ht="14.25" hidden="false" customHeight="false" outlineLevel="0" collapsed="false">
      <c r="A1938" s="46" t="n">
        <f aca="false">A1937+1</f>
        <v>1933</v>
      </c>
      <c r="B1938" s="35" t="s">
        <v>1542</v>
      </c>
      <c r="C1938" s="35" t="str">
        <f aca="false">"0007088"</f>
        <v>0007088</v>
      </c>
      <c r="D1938" s="37" t="s">
        <v>1553</v>
      </c>
      <c r="E1938" s="35" t="n">
        <v>1988</v>
      </c>
      <c r="F1938" s="38" t="n">
        <f aca="false">1221287.18*1.2</f>
        <v>1465544.616</v>
      </c>
      <c r="G1938" s="39" t="n">
        <v>1</v>
      </c>
      <c r="H1938" s="40" t="n">
        <v>74100</v>
      </c>
    </row>
    <row r="1939" s="33" customFormat="true" ht="14.25" hidden="false" customHeight="false" outlineLevel="0" collapsed="false">
      <c r="A1939" s="34" t="n">
        <f aca="false">A1938+1</f>
        <v>1934</v>
      </c>
      <c r="B1939" s="35" t="s">
        <v>1542</v>
      </c>
      <c r="C1939" s="35" t="str">
        <f aca="false">"0008402"</f>
        <v>0008402</v>
      </c>
      <c r="D1939" s="37" t="s">
        <v>301</v>
      </c>
      <c r="E1939" s="35" t="n">
        <v>1987</v>
      </c>
      <c r="F1939" s="38" t="n">
        <v>28.14</v>
      </c>
      <c r="G1939" s="39" t="n">
        <v>1</v>
      </c>
      <c r="H1939" s="40" t="n">
        <v>5</v>
      </c>
    </row>
    <row r="1940" s="33" customFormat="true" ht="14.25" hidden="false" customHeight="false" outlineLevel="0" collapsed="false">
      <c r="A1940" s="34" t="n">
        <f aca="false">A1939+1</f>
        <v>1935</v>
      </c>
      <c r="B1940" s="35" t="s">
        <v>1542</v>
      </c>
      <c r="C1940" s="35" t="str">
        <f aca="false">"0008706"</f>
        <v>0008706</v>
      </c>
      <c r="D1940" s="37" t="s">
        <v>1251</v>
      </c>
      <c r="E1940" s="35" t="n">
        <v>1987</v>
      </c>
      <c r="F1940" s="38" t="n">
        <v>112.57</v>
      </c>
      <c r="G1940" s="39" t="n">
        <v>10</v>
      </c>
      <c r="H1940" s="40" t="n">
        <v>50</v>
      </c>
    </row>
    <row r="1941" s="33" customFormat="true" ht="14.25" hidden="false" customHeight="false" outlineLevel="0" collapsed="false">
      <c r="A1941" s="34" t="n">
        <f aca="false">A1940+1</f>
        <v>1936</v>
      </c>
      <c r="B1941" s="35" t="s">
        <v>1542</v>
      </c>
      <c r="C1941" s="35" t="str">
        <f aca="false">"0010773"</f>
        <v>0010773</v>
      </c>
      <c r="D1941" s="37" t="s">
        <v>1107</v>
      </c>
      <c r="E1941" s="35" t="n">
        <v>1987</v>
      </c>
      <c r="F1941" s="38" t="n">
        <v>50.66</v>
      </c>
      <c r="G1941" s="39" t="n">
        <v>2</v>
      </c>
      <c r="H1941" s="40" t="n">
        <v>10</v>
      </c>
    </row>
    <row r="1942" s="33" customFormat="true" ht="14.25" hidden="false" customHeight="false" outlineLevel="0" collapsed="false">
      <c r="A1942" s="34" t="n">
        <f aca="false">A1941+1</f>
        <v>1937</v>
      </c>
      <c r="B1942" s="35" t="s">
        <v>1542</v>
      </c>
      <c r="C1942" s="35" t="str">
        <f aca="false">"0014583"</f>
        <v>0014583</v>
      </c>
      <c r="D1942" s="37" t="s">
        <v>1554</v>
      </c>
      <c r="E1942" s="35" t="n">
        <v>1987</v>
      </c>
      <c r="F1942" s="38" t="n">
        <v>129.46</v>
      </c>
      <c r="G1942" s="39" t="n">
        <v>1</v>
      </c>
      <c r="H1942" s="40" t="n">
        <v>5</v>
      </c>
    </row>
    <row r="1943" s="33" customFormat="true" ht="14.25" hidden="false" customHeight="false" outlineLevel="0" collapsed="false">
      <c r="A1943" s="34" t="n">
        <f aca="false">A1942+1</f>
        <v>1938</v>
      </c>
      <c r="B1943" s="35" t="s">
        <v>1542</v>
      </c>
      <c r="C1943" s="35" t="str">
        <f aca="false">"0019601"</f>
        <v>0019601</v>
      </c>
      <c r="D1943" s="37" t="s">
        <v>1116</v>
      </c>
      <c r="E1943" s="35" t="n">
        <v>1977</v>
      </c>
      <c r="F1943" s="38" t="n">
        <v>129.46</v>
      </c>
      <c r="G1943" s="39" t="n">
        <v>2</v>
      </c>
      <c r="H1943" s="40" t="n">
        <v>10</v>
      </c>
    </row>
    <row r="1944" s="33" customFormat="true" ht="14.25" hidden="false" customHeight="false" outlineLevel="0" collapsed="false">
      <c r="A1944" s="34" t="n">
        <f aca="false">A1943+1</f>
        <v>1939</v>
      </c>
      <c r="B1944" s="35" t="s">
        <v>1555</v>
      </c>
      <c r="C1944" s="35" t="str">
        <f aca="false">"0000061"</f>
        <v>0000061</v>
      </c>
      <c r="D1944" s="37" t="s">
        <v>1556</v>
      </c>
      <c r="E1944" s="35" t="n">
        <v>1977</v>
      </c>
      <c r="F1944" s="38" t="n">
        <f aca="false">24422.93*1.2</f>
        <v>29307.516</v>
      </c>
      <c r="G1944" s="39" t="n">
        <v>1</v>
      </c>
      <c r="H1944" s="40" t="n">
        <v>1170</v>
      </c>
    </row>
    <row r="1945" s="33" customFormat="true" ht="14.25" hidden="false" customHeight="false" outlineLevel="0" collapsed="false">
      <c r="A1945" s="34" t="n">
        <f aca="false">A1944+1</f>
        <v>1940</v>
      </c>
      <c r="B1945" s="35" t="s">
        <v>1555</v>
      </c>
      <c r="C1945" s="35" t="str">
        <f aca="false">"0000086"</f>
        <v>0000086</v>
      </c>
      <c r="D1945" s="37" t="s">
        <v>1557</v>
      </c>
      <c r="E1945" s="35" t="n">
        <v>1977</v>
      </c>
      <c r="F1945" s="38" t="n">
        <f aca="false">9771.42*1.2</f>
        <v>11725.704</v>
      </c>
      <c r="G1945" s="39" t="n">
        <v>2</v>
      </c>
      <c r="H1945" s="40" t="n">
        <v>940</v>
      </c>
    </row>
    <row r="1946" s="33" customFormat="true" ht="14.25" hidden="false" customHeight="false" outlineLevel="0" collapsed="false">
      <c r="A1946" s="34" t="n">
        <f aca="false">A1945+1</f>
        <v>1941</v>
      </c>
      <c r="B1946" s="35" t="s">
        <v>1555</v>
      </c>
      <c r="C1946" s="35" t="str">
        <f aca="false">"0000169"</f>
        <v>0000169</v>
      </c>
      <c r="D1946" s="37" t="s">
        <v>301</v>
      </c>
      <c r="E1946" s="35" t="n">
        <v>1974</v>
      </c>
      <c r="F1946" s="38" t="n">
        <v>28.14</v>
      </c>
      <c r="G1946" s="39" t="n">
        <v>1</v>
      </c>
      <c r="H1946" s="40" t="n">
        <v>5</v>
      </c>
    </row>
    <row r="1947" s="33" customFormat="true" ht="14.25" hidden="false" customHeight="false" outlineLevel="0" collapsed="false">
      <c r="A1947" s="34" t="n">
        <f aca="false">A1946+1</f>
        <v>1942</v>
      </c>
      <c r="B1947" s="35" t="s">
        <v>1555</v>
      </c>
      <c r="C1947" s="35" t="str">
        <f aca="false">"0001329"</f>
        <v>0001329</v>
      </c>
      <c r="D1947" s="37" t="s">
        <v>1558</v>
      </c>
      <c r="E1947" s="35" t="n">
        <v>1990</v>
      </c>
      <c r="F1947" s="38" t="n">
        <f aca="false">4885.71*1.1</f>
        <v>5374.281</v>
      </c>
      <c r="G1947" s="39" t="n">
        <v>2</v>
      </c>
      <c r="H1947" s="40" t="n">
        <v>560</v>
      </c>
    </row>
    <row r="1948" s="33" customFormat="true" ht="14.25" hidden="false" customHeight="false" outlineLevel="0" collapsed="false">
      <c r="A1948" s="34" t="n">
        <f aca="false">A1947+1</f>
        <v>1943</v>
      </c>
      <c r="B1948" s="35" t="s">
        <v>1555</v>
      </c>
      <c r="C1948" s="35" t="str">
        <f aca="false">"0001600"</f>
        <v>0001600</v>
      </c>
      <c r="D1948" s="37" t="s">
        <v>1559</v>
      </c>
      <c r="E1948" s="35" t="n">
        <v>1987</v>
      </c>
      <c r="F1948" s="38" t="n">
        <f aca="false">7328.57*1.2</f>
        <v>8794.284</v>
      </c>
      <c r="G1948" s="39" t="n">
        <v>1</v>
      </c>
      <c r="H1948" s="40" t="n">
        <v>420</v>
      </c>
    </row>
    <row r="1949" s="33" customFormat="true" ht="14.25" hidden="false" customHeight="false" outlineLevel="0" collapsed="false">
      <c r="A1949" s="34" t="n">
        <f aca="false">A1948+1</f>
        <v>1944</v>
      </c>
      <c r="B1949" s="35" t="s">
        <v>1555</v>
      </c>
      <c r="C1949" s="35" t="str">
        <f aca="false">"0001601"</f>
        <v>0001601</v>
      </c>
      <c r="D1949" s="37" t="s">
        <v>1560</v>
      </c>
      <c r="E1949" s="35" t="n">
        <v>1987</v>
      </c>
      <c r="F1949" s="38" t="n">
        <f aca="false">7328.57*1.2</f>
        <v>8794.284</v>
      </c>
      <c r="G1949" s="39" t="n">
        <v>1</v>
      </c>
      <c r="H1949" s="40" t="n">
        <v>420</v>
      </c>
    </row>
    <row r="1950" s="33" customFormat="true" ht="14.25" hidden="false" customHeight="false" outlineLevel="0" collapsed="false">
      <c r="A1950" s="34" t="n">
        <f aca="false">A1949+1</f>
        <v>1945</v>
      </c>
      <c r="B1950" s="35" t="s">
        <v>1555</v>
      </c>
      <c r="C1950" s="35" t="str">
        <f aca="false">"0001602"</f>
        <v>0001602</v>
      </c>
      <c r="D1950" s="37" t="s">
        <v>1561</v>
      </c>
      <c r="E1950" s="35" t="n">
        <v>1987</v>
      </c>
      <c r="F1950" s="38" t="n">
        <f aca="false">24422.93*1.2</f>
        <v>29307.516</v>
      </c>
      <c r="G1950" s="39" t="n">
        <v>1</v>
      </c>
      <c r="H1950" s="40" t="n">
        <v>1450</v>
      </c>
    </row>
    <row r="1951" s="33" customFormat="true" ht="14.25" hidden="false" customHeight="false" outlineLevel="0" collapsed="false">
      <c r="A1951" s="34" t="n">
        <f aca="false">A1950+1</f>
        <v>1946</v>
      </c>
      <c r="B1951" s="35" t="s">
        <v>1555</v>
      </c>
      <c r="C1951" s="35" t="str">
        <f aca="false">"0001603"</f>
        <v>0001603</v>
      </c>
      <c r="D1951" s="37" t="s">
        <v>1562</v>
      </c>
      <c r="E1951" s="35" t="n">
        <v>1987</v>
      </c>
      <c r="F1951" s="38" t="n">
        <f aca="false">7328.57*1.2</f>
        <v>8794.284</v>
      </c>
      <c r="G1951" s="39" t="n">
        <v>1</v>
      </c>
      <c r="H1951" s="40" t="n">
        <v>420</v>
      </c>
    </row>
    <row r="1952" s="33" customFormat="true" ht="14.25" hidden="false" customHeight="false" outlineLevel="0" collapsed="false">
      <c r="A1952" s="34" t="n">
        <f aca="false">A1951+1</f>
        <v>1947</v>
      </c>
      <c r="B1952" s="35" t="s">
        <v>1555</v>
      </c>
      <c r="C1952" s="35" t="str">
        <f aca="false">"0001665"</f>
        <v>0001665</v>
      </c>
      <c r="D1952" s="37" t="s">
        <v>1563</v>
      </c>
      <c r="E1952" s="35" t="n">
        <v>1987</v>
      </c>
      <c r="F1952" s="38" t="n">
        <f aca="false">7328.57*1.2</f>
        <v>8794.284</v>
      </c>
      <c r="G1952" s="39" t="n">
        <v>1</v>
      </c>
      <c r="H1952" s="40" t="n">
        <v>420</v>
      </c>
    </row>
    <row r="1953" s="33" customFormat="true" ht="14.25" hidden="false" customHeight="false" outlineLevel="0" collapsed="false">
      <c r="A1953" s="34" t="n">
        <f aca="false">A1952+1</f>
        <v>1948</v>
      </c>
      <c r="B1953" s="35" t="s">
        <v>1555</v>
      </c>
      <c r="C1953" s="35" t="str">
        <f aca="false">"0003975"</f>
        <v>0003975</v>
      </c>
      <c r="D1953" s="37" t="s">
        <v>301</v>
      </c>
      <c r="E1953" s="35" t="n">
        <v>1987</v>
      </c>
      <c r="F1953" s="38" t="n">
        <v>28.14</v>
      </c>
      <c r="G1953" s="39" t="n">
        <v>1</v>
      </c>
      <c r="H1953" s="40" t="n">
        <v>5</v>
      </c>
    </row>
    <row r="1954" s="33" customFormat="true" ht="14.25" hidden="false" customHeight="false" outlineLevel="0" collapsed="false">
      <c r="A1954" s="34" t="n">
        <f aca="false">A1953+1</f>
        <v>1949</v>
      </c>
      <c r="B1954" s="35" t="s">
        <v>1555</v>
      </c>
      <c r="C1954" s="35" t="str">
        <f aca="false">"0004579"</f>
        <v>0004579</v>
      </c>
      <c r="D1954" s="37" t="s">
        <v>1564</v>
      </c>
      <c r="E1954" s="35" t="n">
        <v>1987</v>
      </c>
      <c r="F1954" s="38" t="n">
        <f aca="false">9771.42*1.2</f>
        <v>11725.704</v>
      </c>
      <c r="G1954" s="39" t="n">
        <v>1</v>
      </c>
      <c r="H1954" s="40" t="n">
        <v>560</v>
      </c>
    </row>
    <row r="1955" s="33" customFormat="true" ht="14.25" hidden="false" customHeight="false" outlineLevel="0" collapsed="false">
      <c r="A1955" s="34" t="n">
        <f aca="false">A1954+1</f>
        <v>1950</v>
      </c>
      <c r="B1955" s="35" t="s">
        <v>1555</v>
      </c>
      <c r="C1955" s="35" t="str">
        <f aca="false">"0005525"</f>
        <v>0005525</v>
      </c>
      <c r="D1955" s="37" t="s">
        <v>311</v>
      </c>
      <c r="E1955" s="35" t="n">
        <v>1987</v>
      </c>
      <c r="F1955" s="38" t="n">
        <v>28.14</v>
      </c>
      <c r="G1955" s="39" t="n">
        <v>1</v>
      </c>
      <c r="H1955" s="40" t="n">
        <v>5</v>
      </c>
    </row>
    <row r="1956" s="33" customFormat="true" ht="14.25" hidden="false" customHeight="false" outlineLevel="0" collapsed="false">
      <c r="A1956" s="46" t="n">
        <f aca="false">A1955+1</f>
        <v>1951</v>
      </c>
      <c r="B1956" s="35" t="s">
        <v>1555</v>
      </c>
      <c r="C1956" s="35" t="str">
        <f aca="false">"0006959"</f>
        <v>0006959</v>
      </c>
      <c r="D1956" s="37" t="s">
        <v>1565</v>
      </c>
      <c r="E1956" s="35" t="n">
        <v>1987</v>
      </c>
      <c r="F1956" s="38" t="n">
        <f aca="false">4885143.1*1.2</f>
        <v>5862171.72</v>
      </c>
      <c r="G1956" s="39" t="n">
        <v>1</v>
      </c>
      <c r="H1956" s="40" t="n">
        <v>290760</v>
      </c>
    </row>
    <row r="1957" s="33" customFormat="true" ht="14.25" hidden="false" customHeight="false" outlineLevel="0" collapsed="false">
      <c r="A1957" s="34" t="n">
        <f aca="false">A1956+1</f>
        <v>1952</v>
      </c>
      <c r="B1957" s="35" t="s">
        <v>1555</v>
      </c>
      <c r="C1957" s="35" t="str">
        <f aca="false">"0007044"</f>
        <v>0007044</v>
      </c>
      <c r="D1957" s="37" t="s">
        <v>1566</v>
      </c>
      <c r="E1957" s="35" t="n">
        <v>1987</v>
      </c>
      <c r="F1957" s="38" t="n">
        <v>9771.42</v>
      </c>
      <c r="G1957" s="39" t="n">
        <v>1</v>
      </c>
      <c r="H1957" s="40" t="n">
        <v>500</v>
      </c>
    </row>
    <row r="1958" s="33" customFormat="true" ht="14.25" hidden="false" customHeight="false" outlineLevel="0" collapsed="false">
      <c r="A1958" s="34" t="n">
        <f aca="false">A1957+1</f>
        <v>1953</v>
      </c>
      <c r="B1958" s="35" t="s">
        <v>1555</v>
      </c>
      <c r="C1958" s="35" t="str">
        <f aca="false">"0007506"</f>
        <v>0007506</v>
      </c>
      <c r="D1958" s="37" t="s">
        <v>114</v>
      </c>
      <c r="E1958" s="35" t="n">
        <v>1987</v>
      </c>
      <c r="F1958" s="38" t="n">
        <v>33.77</v>
      </c>
      <c r="G1958" s="39" t="n">
        <v>1</v>
      </c>
      <c r="H1958" s="40" t="n">
        <v>5</v>
      </c>
    </row>
    <row r="1959" s="33" customFormat="true" ht="14.25" hidden="false" customHeight="false" outlineLevel="0" collapsed="false">
      <c r="A1959" s="34" t="n">
        <f aca="false">A1958+1</f>
        <v>1954</v>
      </c>
      <c r="B1959" s="35" t="s">
        <v>1555</v>
      </c>
      <c r="C1959" s="35" t="str">
        <f aca="false">"0009182"</f>
        <v>0009182</v>
      </c>
      <c r="D1959" s="37" t="s">
        <v>312</v>
      </c>
      <c r="E1959" s="35" t="n">
        <v>1987</v>
      </c>
      <c r="F1959" s="38" t="n">
        <v>45.03</v>
      </c>
      <c r="G1959" s="39" t="n">
        <v>1</v>
      </c>
      <c r="H1959" s="40" t="n">
        <v>5</v>
      </c>
    </row>
    <row r="1960" s="33" customFormat="true" ht="14.25" hidden="false" customHeight="false" outlineLevel="0" collapsed="false">
      <c r="A1960" s="34" t="n">
        <f aca="false">A1959+1</f>
        <v>1955</v>
      </c>
      <c r="B1960" s="35" t="s">
        <v>1555</v>
      </c>
      <c r="C1960" s="35" t="str">
        <f aca="false">"0009263"</f>
        <v>0009263</v>
      </c>
      <c r="D1960" s="37" t="s">
        <v>301</v>
      </c>
      <c r="E1960" s="35" t="n">
        <v>1987</v>
      </c>
      <c r="F1960" s="38" t="n">
        <v>28.14</v>
      </c>
      <c r="G1960" s="39" t="n">
        <v>1</v>
      </c>
      <c r="H1960" s="40" t="n">
        <v>5</v>
      </c>
    </row>
    <row r="1961" s="33" customFormat="true" ht="14.25" hidden="false" customHeight="false" outlineLevel="0" collapsed="false">
      <c r="A1961" s="34" t="n">
        <f aca="false">A1960+1</f>
        <v>1956</v>
      </c>
      <c r="B1961" s="35" t="s">
        <v>1555</v>
      </c>
      <c r="C1961" s="35" t="str">
        <f aca="false">"0010400"</f>
        <v>0010400</v>
      </c>
      <c r="D1961" s="37" t="s">
        <v>311</v>
      </c>
      <c r="E1961" s="35" t="n">
        <v>1987</v>
      </c>
      <c r="F1961" s="38" t="n">
        <v>28.14</v>
      </c>
      <c r="G1961" s="39" t="n">
        <v>1</v>
      </c>
      <c r="H1961" s="40" t="n">
        <v>5</v>
      </c>
    </row>
    <row r="1962" s="33" customFormat="true" ht="14.25" hidden="false" customHeight="false" outlineLevel="0" collapsed="false">
      <c r="A1962" s="34" t="n">
        <f aca="false">A1961+1</f>
        <v>1957</v>
      </c>
      <c r="B1962" s="35" t="s">
        <v>1555</v>
      </c>
      <c r="C1962" s="35" t="str">
        <f aca="false">"0011020"</f>
        <v>0011020</v>
      </c>
      <c r="D1962" s="37" t="s">
        <v>1567</v>
      </c>
      <c r="E1962" s="35" t="n">
        <v>1987</v>
      </c>
      <c r="F1962" s="38" t="n">
        <v>22.51</v>
      </c>
      <c r="G1962" s="39" t="n">
        <v>2</v>
      </c>
      <c r="H1962" s="40" t="n">
        <v>10</v>
      </c>
    </row>
    <row r="1963" s="33" customFormat="true" ht="14.25" hidden="false" customHeight="false" outlineLevel="0" collapsed="false">
      <c r="A1963" s="34" t="n">
        <f aca="false">A1962+1</f>
        <v>1958</v>
      </c>
      <c r="B1963" s="35" t="s">
        <v>1555</v>
      </c>
      <c r="C1963" s="35" t="str">
        <f aca="false">"0011765"</f>
        <v>0011765</v>
      </c>
      <c r="D1963" s="37" t="s">
        <v>1568</v>
      </c>
      <c r="E1963" s="35" t="n">
        <v>2001</v>
      </c>
      <c r="F1963" s="38" t="n">
        <v>9320</v>
      </c>
      <c r="G1963" s="39" t="n">
        <v>1</v>
      </c>
      <c r="H1963" s="40" t="n">
        <v>550</v>
      </c>
    </row>
    <row r="1964" s="33" customFormat="true" ht="14.25" hidden="false" customHeight="false" outlineLevel="0" collapsed="false">
      <c r="A1964" s="34" t="n">
        <f aca="false">A1963+1</f>
        <v>1959</v>
      </c>
      <c r="B1964" s="35" t="s">
        <v>1555</v>
      </c>
      <c r="C1964" s="35" t="str">
        <f aca="false">"0013541"</f>
        <v>0013541</v>
      </c>
      <c r="D1964" s="37" t="s">
        <v>114</v>
      </c>
      <c r="E1964" s="35" t="n">
        <v>1987</v>
      </c>
      <c r="F1964" s="38" t="n">
        <v>106.95</v>
      </c>
      <c r="G1964" s="39" t="n">
        <v>1</v>
      </c>
      <c r="H1964" s="40" t="n">
        <v>5</v>
      </c>
    </row>
    <row r="1965" s="33" customFormat="true" ht="14.25" hidden="false" customHeight="false" outlineLevel="0" collapsed="false">
      <c r="A1965" s="34" t="n">
        <f aca="false">A1964+1</f>
        <v>1960</v>
      </c>
      <c r="B1965" s="35" t="s">
        <v>1555</v>
      </c>
      <c r="C1965" s="35" t="str">
        <f aca="false">"0014770"</f>
        <v>0014770</v>
      </c>
      <c r="D1965" s="37" t="s">
        <v>1569</v>
      </c>
      <c r="E1965" s="35" t="n">
        <v>2004</v>
      </c>
      <c r="F1965" s="38" t="n">
        <v>94065.91</v>
      </c>
      <c r="G1965" s="39" t="n">
        <v>1</v>
      </c>
      <c r="H1965" s="40" t="n">
        <v>6050</v>
      </c>
    </row>
    <row r="1966" s="33" customFormat="true" ht="14.25" hidden="false" customHeight="false" outlineLevel="0" collapsed="false">
      <c r="A1966" s="34" t="n">
        <f aca="false">A1965+1</f>
        <v>1961</v>
      </c>
      <c r="B1966" s="35" t="s">
        <v>1555</v>
      </c>
      <c r="C1966" s="35" t="str">
        <f aca="false">"0015086"</f>
        <v>0015086</v>
      </c>
      <c r="D1966" s="37" t="s">
        <v>1570</v>
      </c>
      <c r="E1966" s="35" t="n">
        <v>2001</v>
      </c>
      <c r="F1966" s="38" t="n">
        <v>22762</v>
      </c>
      <c r="G1966" s="39" t="n">
        <v>1</v>
      </c>
      <c r="H1966" s="40" t="n">
        <v>1500</v>
      </c>
    </row>
    <row r="1967" s="33" customFormat="true" ht="14.25" hidden="false" customHeight="false" outlineLevel="0" collapsed="false">
      <c r="A1967" s="34" t="n">
        <f aca="false">A1966+1</f>
        <v>1962</v>
      </c>
      <c r="B1967" s="35" t="s">
        <v>1555</v>
      </c>
      <c r="C1967" s="35" t="str">
        <f aca="false">"0015122"</f>
        <v>0015122</v>
      </c>
      <c r="D1967" s="37" t="s">
        <v>1111</v>
      </c>
      <c r="E1967" s="35" t="n">
        <v>2005</v>
      </c>
      <c r="F1967" s="38" t="n">
        <v>985</v>
      </c>
      <c r="G1967" s="39" t="n">
        <v>1</v>
      </c>
      <c r="H1967" s="40" t="n">
        <v>60</v>
      </c>
    </row>
    <row r="1968" s="33" customFormat="true" ht="14.25" hidden="false" customHeight="false" outlineLevel="0" collapsed="false">
      <c r="A1968" s="34" t="n">
        <f aca="false">A1967+1</f>
        <v>1963</v>
      </c>
      <c r="B1968" s="35" t="s">
        <v>1555</v>
      </c>
      <c r="C1968" s="35" t="str">
        <f aca="false">"0015338"</f>
        <v>0015338</v>
      </c>
      <c r="D1968" s="37" t="s">
        <v>1571</v>
      </c>
      <c r="E1968" s="35" t="n">
        <v>2005</v>
      </c>
      <c r="F1968" s="38" t="n">
        <v>12347.07</v>
      </c>
      <c r="G1968" s="39" t="n">
        <v>3</v>
      </c>
      <c r="H1968" s="40" t="n">
        <v>2340</v>
      </c>
    </row>
    <row r="1969" s="33" customFormat="true" ht="14.25" hidden="false" customHeight="false" outlineLevel="0" collapsed="false">
      <c r="A1969" s="34" t="n">
        <f aca="false">A1968+1</f>
        <v>1964</v>
      </c>
      <c r="B1969" s="35" t="s">
        <v>1555</v>
      </c>
      <c r="C1969" s="35" t="str">
        <f aca="false">"0015450"</f>
        <v>0015450</v>
      </c>
      <c r="D1969" s="37" t="s">
        <v>1572</v>
      </c>
      <c r="E1969" s="35" t="n">
        <v>2005</v>
      </c>
      <c r="F1969" s="38" t="n">
        <v>30654.66</v>
      </c>
      <c r="G1969" s="39" t="n">
        <v>1</v>
      </c>
      <c r="H1969" s="40" t="n">
        <v>2300</v>
      </c>
    </row>
    <row r="1970" s="33" customFormat="true" ht="14.25" hidden="false" customHeight="false" outlineLevel="0" collapsed="false">
      <c r="A1970" s="34" t="n">
        <f aca="false">A1969+1</f>
        <v>1965</v>
      </c>
      <c r="B1970" s="35" t="s">
        <v>1555</v>
      </c>
      <c r="C1970" s="35" t="str">
        <f aca="false">"0015561"</f>
        <v>0015561</v>
      </c>
      <c r="D1970" s="37" t="s">
        <v>1573</v>
      </c>
      <c r="E1970" s="35" t="n">
        <v>2006</v>
      </c>
      <c r="F1970" s="38" t="n">
        <v>1200</v>
      </c>
      <c r="G1970" s="39" t="n">
        <v>1</v>
      </c>
      <c r="H1970" s="40" t="n">
        <v>100</v>
      </c>
    </row>
    <row r="1971" s="33" customFormat="true" ht="14.25" hidden="false" customHeight="false" outlineLevel="0" collapsed="false">
      <c r="A1971" s="34" t="n">
        <f aca="false">A1970+1</f>
        <v>1966</v>
      </c>
      <c r="B1971" s="35" t="s">
        <v>1555</v>
      </c>
      <c r="C1971" s="35" t="str">
        <f aca="false">"0015686"</f>
        <v>0015686</v>
      </c>
      <c r="D1971" s="37" t="s">
        <v>1574</v>
      </c>
      <c r="E1971" s="35" t="n">
        <v>2006</v>
      </c>
      <c r="F1971" s="38" t="n">
        <v>293.69</v>
      </c>
      <c r="G1971" s="39" t="n">
        <v>4</v>
      </c>
      <c r="H1971" s="40" t="n">
        <v>100</v>
      </c>
    </row>
    <row r="1972" s="33" customFormat="true" ht="14.25" hidden="false" customHeight="false" outlineLevel="0" collapsed="false">
      <c r="A1972" s="34" t="n">
        <f aca="false">A1971+1</f>
        <v>1967</v>
      </c>
      <c r="B1972" s="35" t="s">
        <v>1555</v>
      </c>
      <c r="C1972" s="35" t="str">
        <f aca="false">"0015795"</f>
        <v>0015795</v>
      </c>
      <c r="D1972" s="37" t="s">
        <v>1275</v>
      </c>
      <c r="E1972" s="35" t="n">
        <v>2006</v>
      </c>
      <c r="F1972" s="38" t="n">
        <v>445</v>
      </c>
      <c r="G1972" s="39" t="n">
        <v>1</v>
      </c>
      <c r="H1972" s="40" t="n">
        <v>25</v>
      </c>
    </row>
    <row r="1973" s="33" customFormat="true" ht="14.25" hidden="false" customHeight="false" outlineLevel="0" collapsed="false">
      <c r="A1973" s="34" t="n">
        <f aca="false">A1972+1</f>
        <v>1968</v>
      </c>
      <c r="B1973" s="35" t="s">
        <v>1555</v>
      </c>
      <c r="C1973" s="35" t="str">
        <f aca="false">"0016999"</f>
        <v>0016999</v>
      </c>
      <c r="D1973" s="37" t="s">
        <v>1575</v>
      </c>
      <c r="E1973" s="35" t="n">
        <v>1987</v>
      </c>
      <c r="F1973" s="38" t="n">
        <f aca="false">9771.42*1.2</f>
        <v>11725.704</v>
      </c>
      <c r="G1973" s="39" t="n">
        <v>2</v>
      </c>
      <c r="H1973" s="40" t="n">
        <v>1160</v>
      </c>
    </row>
    <row r="1974" s="33" customFormat="true" ht="14.25" hidden="false" customHeight="false" outlineLevel="0" collapsed="false">
      <c r="A1974" s="34" t="n">
        <f aca="false">A1973+1</f>
        <v>1969</v>
      </c>
      <c r="B1974" s="35" t="s">
        <v>1555</v>
      </c>
      <c r="C1974" s="35" t="str">
        <f aca="false">"0017000"</f>
        <v>0017000</v>
      </c>
      <c r="D1974" s="37" t="s">
        <v>1576</v>
      </c>
      <c r="E1974" s="35" t="n">
        <v>1987</v>
      </c>
      <c r="F1974" s="38" t="n">
        <f aca="false">12214.28*1.2</f>
        <v>14657.136</v>
      </c>
      <c r="G1974" s="39" t="n">
        <v>1</v>
      </c>
      <c r="H1974" s="40" t="n">
        <v>730</v>
      </c>
    </row>
    <row r="1975" s="33" customFormat="true" ht="14.25" hidden="false" customHeight="false" outlineLevel="0" collapsed="false">
      <c r="A1975" s="34" t="n">
        <f aca="false">A1974+1</f>
        <v>1970</v>
      </c>
      <c r="B1975" s="35" t="s">
        <v>1555</v>
      </c>
      <c r="C1975" s="35" t="str">
        <f aca="false">"0017002"</f>
        <v>0017002</v>
      </c>
      <c r="D1975" s="37" t="s">
        <v>1577</v>
      </c>
      <c r="E1975" s="35" t="n">
        <v>1987</v>
      </c>
      <c r="F1975" s="38" t="n">
        <f aca="false">9771.42*1.2</f>
        <v>11725.704</v>
      </c>
      <c r="G1975" s="39" t="n">
        <v>1</v>
      </c>
      <c r="H1975" s="40" t="n">
        <v>580</v>
      </c>
    </row>
    <row r="1976" s="33" customFormat="true" ht="14.25" hidden="false" customHeight="false" outlineLevel="0" collapsed="false">
      <c r="A1976" s="34" t="n">
        <f aca="false">A1975+1</f>
        <v>1971</v>
      </c>
      <c r="B1976" s="35" t="s">
        <v>1555</v>
      </c>
      <c r="C1976" s="35" t="str">
        <f aca="false">"0017003"</f>
        <v>0017003</v>
      </c>
      <c r="D1976" s="37" t="s">
        <v>1578</v>
      </c>
      <c r="E1976" s="35" t="n">
        <v>1987</v>
      </c>
      <c r="F1976" s="38" t="n">
        <f aca="false">9771.42*1.2</f>
        <v>11725.704</v>
      </c>
      <c r="G1976" s="39" t="n">
        <v>1</v>
      </c>
      <c r="H1976" s="40" t="n">
        <v>580</v>
      </c>
    </row>
    <row r="1977" s="33" customFormat="true" ht="14.25" hidden="false" customHeight="false" outlineLevel="0" collapsed="false">
      <c r="A1977" s="34" t="n">
        <f aca="false">A1976+1</f>
        <v>1972</v>
      </c>
      <c r="B1977" s="35" t="s">
        <v>1555</v>
      </c>
      <c r="C1977" s="35" t="str">
        <f aca="false">"0017004"</f>
        <v>0017004</v>
      </c>
      <c r="D1977" s="37" t="s">
        <v>1579</v>
      </c>
      <c r="E1977" s="35" t="n">
        <v>1987</v>
      </c>
      <c r="F1977" s="38" t="n">
        <f aca="false">4885.71*1.2</f>
        <v>5862.852</v>
      </c>
      <c r="G1977" s="39" t="n">
        <v>5</v>
      </c>
      <c r="H1977" s="40" t="n">
        <v>1450</v>
      </c>
    </row>
    <row r="1978" s="33" customFormat="true" ht="14.25" hidden="false" customHeight="false" outlineLevel="0" collapsed="false">
      <c r="A1978" s="34" t="n">
        <f aca="false">A1977+1</f>
        <v>1973</v>
      </c>
      <c r="B1978" s="35" t="s">
        <v>1555</v>
      </c>
      <c r="C1978" s="35" t="str">
        <f aca="false">"0017278"</f>
        <v>0017278</v>
      </c>
      <c r="D1978" s="37" t="s">
        <v>1580</v>
      </c>
      <c r="E1978" s="35" t="n">
        <v>1987</v>
      </c>
      <c r="F1978" s="38" t="n">
        <f aca="false">24422.93*1.2</f>
        <v>29307.516</v>
      </c>
      <c r="G1978" s="39" t="n">
        <v>1</v>
      </c>
      <c r="H1978" s="40" t="n">
        <v>1450</v>
      </c>
    </row>
    <row r="1979" s="33" customFormat="true" ht="14.25" hidden="false" customHeight="false" outlineLevel="0" collapsed="false">
      <c r="A1979" s="34" t="n">
        <f aca="false">A1978+1</f>
        <v>1974</v>
      </c>
      <c r="B1979" s="35" t="s">
        <v>1555</v>
      </c>
      <c r="C1979" s="35" t="str">
        <f aca="false">"0017401"</f>
        <v>0017401</v>
      </c>
      <c r="D1979" s="37" t="s">
        <v>1581</v>
      </c>
      <c r="E1979" s="35" t="n">
        <v>1987</v>
      </c>
      <c r="F1979" s="38" t="n">
        <f aca="false">7328.57*1.2</f>
        <v>8794.284</v>
      </c>
      <c r="G1979" s="39" t="n">
        <v>33</v>
      </c>
      <c r="H1979" s="40" t="n">
        <v>14850</v>
      </c>
    </row>
    <row r="1980" s="33" customFormat="true" ht="14.25" hidden="false" customHeight="false" outlineLevel="0" collapsed="false">
      <c r="A1980" s="34" t="n">
        <f aca="false">A1979+1</f>
        <v>1975</v>
      </c>
      <c r="B1980" s="35" t="s">
        <v>1555</v>
      </c>
      <c r="C1980" s="35" t="str">
        <f aca="false">"0017495"</f>
        <v>0017495</v>
      </c>
      <c r="D1980" s="37" t="s">
        <v>1579</v>
      </c>
      <c r="E1980" s="35" t="n">
        <v>1987</v>
      </c>
      <c r="F1980" s="38" t="n">
        <f aca="false">4885.71*1.2</f>
        <v>5862.852</v>
      </c>
      <c r="G1980" s="39" t="n">
        <v>3</v>
      </c>
      <c r="H1980" s="40" t="n">
        <v>870</v>
      </c>
    </row>
    <row r="1981" s="33" customFormat="true" ht="14.25" hidden="false" customHeight="false" outlineLevel="0" collapsed="false">
      <c r="A1981" s="34" t="n">
        <f aca="false">A1980+1</f>
        <v>1976</v>
      </c>
      <c r="B1981" s="35" t="s">
        <v>1555</v>
      </c>
      <c r="C1981" s="35" t="str">
        <f aca="false">"0019014"</f>
        <v>0019014</v>
      </c>
      <c r="D1981" s="37" t="s">
        <v>1582</v>
      </c>
      <c r="E1981" s="35" t="n">
        <v>1987</v>
      </c>
      <c r="F1981" s="38" t="n">
        <f aca="false">48851.49*1.2</f>
        <v>58621.788</v>
      </c>
      <c r="G1981" s="39" t="n">
        <v>1</v>
      </c>
      <c r="H1981" s="40" t="n">
        <v>2910</v>
      </c>
    </row>
    <row r="1982" s="33" customFormat="true" ht="14.25" hidden="false" customHeight="false" outlineLevel="0" collapsed="false">
      <c r="A1982" s="34" t="n">
        <f aca="false">A1981+1</f>
        <v>1977</v>
      </c>
      <c r="B1982" s="35" t="s">
        <v>1555</v>
      </c>
      <c r="C1982" s="35" t="str">
        <f aca="false">"0019015"</f>
        <v>0019015</v>
      </c>
      <c r="D1982" s="37" t="s">
        <v>1583</v>
      </c>
      <c r="E1982" s="35" t="n">
        <v>1987</v>
      </c>
      <c r="F1982" s="38" t="n">
        <f aca="false">24422.93*1.2</f>
        <v>29307.516</v>
      </c>
      <c r="G1982" s="39" t="n">
        <v>1</v>
      </c>
      <c r="H1982" s="40" t="n">
        <v>1450</v>
      </c>
    </row>
    <row r="1983" s="33" customFormat="true" ht="14.25" hidden="false" customHeight="false" outlineLevel="0" collapsed="false">
      <c r="A1983" s="34" t="n">
        <f aca="false">A1982+1</f>
        <v>1978</v>
      </c>
      <c r="B1983" s="35" t="s">
        <v>1555</v>
      </c>
      <c r="C1983" s="35" t="str">
        <f aca="false">"0019016"</f>
        <v>0019016</v>
      </c>
      <c r="D1983" s="37" t="s">
        <v>1584</v>
      </c>
      <c r="E1983" s="35" t="n">
        <v>1987</v>
      </c>
      <c r="F1983" s="38" t="n">
        <f aca="false">34194.35*1.2</f>
        <v>41033.22</v>
      </c>
      <c r="G1983" s="39" t="n">
        <v>1</v>
      </c>
      <c r="H1983" s="40" t="n">
        <v>2050</v>
      </c>
    </row>
    <row r="1984" s="33" customFormat="true" ht="14.25" hidden="false" customHeight="false" outlineLevel="0" collapsed="false">
      <c r="A1984" s="34" t="n">
        <f aca="false">A1983+1</f>
        <v>1979</v>
      </c>
      <c r="B1984" s="35" t="s">
        <v>1555</v>
      </c>
      <c r="C1984" s="35" t="str">
        <f aca="false">"0019017"</f>
        <v>0019017</v>
      </c>
      <c r="D1984" s="37" t="s">
        <v>1585</v>
      </c>
      <c r="E1984" s="35" t="n">
        <v>1987</v>
      </c>
      <c r="F1984" s="38" t="n">
        <f aca="false">24422.93*1.2</f>
        <v>29307.516</v>
      </c>
      <c r="G1984" s="39" t="n">
        <v>1</v>
      </c>
      <c r="H1984" s="40" t="n">
        <v>1450</v>
      </c>
    </row>
    <row r="1985" s="33" customFormat="true" ht="14.25" hidden="false" customHeight="false" outlineLevel="0" collapsed="false">
      <c r="A1985" s="34" t="n">
        <f aca="false">A1984+1</f>
        <v>1980</v>
      </c>
      <c r="B1985" s="35" t="s">
        <v>1555</v>
      </c>
      <c r="C1985" s="35" t="str">
        <f aca="false">"0019018"</f>
        <v>0019018</v>
      </c>
      <c r="D1985" s="37" t="s">
        <v>1586</v>
      </c>
      <c r="E1985" s="35" t="n">
        <v>1977</v>
      </c>
      <c r="F1985" s="38" t="n">
        <f aca="false">24422.93*1.2</f>
        <v>29307.516</v>
      </c>
      <c r="G1985" s="39" t="n">
        <v>1</v>
      </c>
      <c r="H1985" s="40" t="n">
        <v>1170</v>
      </c>
    </row>
    <row r="1986" s="33" customFormat="true" ht="14.25" hidden="false" customHeight="false" outlineLevel="0" collapsed="false">
      <c r="A1986" s="34" t="n">
        <f aca="false">A1985+1</f>
        <v>1981</v>
      </c>
      <c r="B1986" s="35" t="s">
        <v>1555</v>
      </c>
      <c r="C1986" s="35" t="str">
        <f aca="false">"0019096"</f>
        <v>0019096</v>
      </c>
      <c r="D1986" s="37" t="s">
        <v>42</v>
      </c>
      <c r="E1986" s="35" t="n">
        <v>1978</v>
      </c>
      <c r="F1986" s="38" t="n">
        <v>90.06</v>
      </c>
      <c r="G1986" s="39" t="n">
        <v>3</v>
      </c>
      <c r="H1986" s="40" t="n">
        <v>15</v>
      </c>
    </row>
    <row r="1987" s="33" customFormat="true" ht="14.25" hidden="false" customHeight="false" outlineLevel="0" collapsed="false">
      <c r="A1987" s="34" t="n">
        <f aca="false">A1986+1</f>
        <v>1982</v>
      </c>
      <c r="B1987" s="35" t="s">
        <v>1555</v>
      </c>
      <c r="C1987" s="35" t="str">
        <f aca="false">"0019608"</f>
        <v>0019608</v>
      </c>
      <c r="D1987" s="37" t="s">
        <v>1116</v>
      </c>
      <c r="E1987" s="35" t="n">
        <v>1977</v>
      </c>
      <c r="F1987" s="38" t="n">
        <v>129.46</v>
      </c>
      <c r="G1987" s="39" t="n">
        <v>1</v>
      </c>
      <c r="H1987" s="40" t="n">
        <v>5</v>
      </c>
    </row>
    <row r="1988" s="33" customFormat="true" ht="14.25" hidden="false" customHeight="false" outlineLevel="0" collapsed="false">
      <c r="A1988" s="42" t="n">
        <f aca="false">A1987+1</f>
        <v>1983</v>
      </c>
      <c r="B1988" s="35" t="s">
        <v>1555</v>
      </c>
      <c r="C1988" s="35" t="str">
        <f aca="false">"0035173"</f>
        <v>0035173</v>
      </c>
      <c r="D1988" s="37" t="s">
        <v>1587</v>
      </c>
      <c r="E1988" s="35" t="n">
        <v>2006</v>
      </c>
      <c r="F1988" s="38" t="n">
        <v>1651150.35</v>
      </c>
      <c r="G1988" s="39" t="n">
        <v>1</v>
      </c>
      <c r="H1988" s="40" t="n">
        <v>169100</v>
      </c>
    </row>
    <row r="1989" s="33" customFormat="true" ht="14.25" hidden="false" customHeight="false" outlineLevel="0" collapsed="false">
      <c r="A1989" s="34" t="n">
        <f aca="false">A1988+1</f>
        <v>1984</v>
      </c>
      <c r="B1989" s="35" t="s">
        <v>1555</v>
      </c>
      <c r="C1989" s="35" t="str">
        <f aca="false">"0035175"</f>
        <v>0035175</v>
      </c>
      <c r="D1989" s="37" t="s">
        <v>1588</v>
      </c>
      <c r="E1989" s="35" t="n">
        <v>2006</v>
      </c>
      <c r="F1989" s="38" t="n">
        <v>345787.65</v>
      </c>
      <c r="G1989" s="39" t="n">
        <v>1</v>
      </c>
      <c r="H1989" s="40" t="n">
        <v>35400</v>
      </c>
    </row>
    <row r="1990" s="33" customFormat="true" ht="14.25" hidden="false" customHeight="false" outlineLevel="0" collapsed="false">
      <c r="A1990" s="34" t="n">
        <f aca="false">A1989+1</f>
        <v>1985</v>
      </c>
      <c r="B1990" s="35" t="s">
        <v>1555</v>
      </c>
      <c r="C1990" s="35" t="str">
        <f aca="false">"0035212"</f>
        <v>0035212</v>
      </c>
      <c r="D1990" s="37" t="s">
        <v>1589</v>
      </c>
      <c r="E1990" s="35" t="n">
        <v>2007</v>
      </c>
      <c r="F1990" s="38" t="n">
        <v>811</v>
      </c>
      <c r="G1990" s="39" t="n">
        <v>1</v>
      </c>
      <c r="H1990" s="40" t="n">
        <v>75</v>
      </c>
    </row>
    <row r="1991" s="33" customFormat="true" ht="14.25" hidden="false" customHeight="false" outlineLevel="0" collapsed="false">
      <c r="A1991" s="34" t="n">
        <f aca="false">A1990+1</f>
        <v>1986</v>
      </c>
      <c r="B1991" s="35" t="s">
        <v>1555</v>
      </c>
      <c r="C1991" s="35" t="str">
        <f aca="false">"0035213"</f>
        <v>0035213</v>
      </c>
      <c r="D1991" s="37" t="s">
        <v>1590</v>
      </c>
      <c r="E1991" s="35" t="n">
        <v>2007</v>
      </c>
      <c r="F1991" s="38" t="n">
        <v>629</v>
      </c>
      <c r="G1991" s="39" t="n">
        <v>1</v>
      </c>
      <c r="H1991" s="40" t="n">
        <v>60</v>
      </c>
    </row>
    <row r="1992" s="33" customFormat="true" ht="14.25" hidden="false" customHeight="false" outlineLevel="0" collapsed="false">
      <c r="A1992" s="34" t="n">
        <f aca="false">A1991+1</f>
        <v>1987</v>
      </c>
      <c r="B1992" s="35" t="s">
        <v>1555</v>
      </c>
      <c r="C1992" s="35" t="str">
        <f aca="false">"0035214"</f>
        <v>0035214</v>
      </c>
      <c r="D1992" s="37" t="s">
        <v>1591</v>
      </c>
      <c r="E1992" s="35" t="n">
        <v>2007</v>
      </c>
      <c r="F1992" s="38" t="n">
        <v>604</v>
      </c>
      <c r="G1992" s="39" t="n">
        <v>1</v>
      </c>
      <c r="H1992" s="40" t="n">
        <v>60</v>
      </c>
    </row>
    <row r="1993" s="33" customFormat="true" ht="14.25" hidden="false" customHeight="false" outlineLevel="0" collapsed="false">
      <c r="A1993" s="34" t="n">
        <f aca="false">A1992+1</f>
        <v>1988</v>
      </c>
      <c r="B1993" s="35" t="s">
        <v>1555</v>
      </c>
      <c r="C1993" s="35" t="str">
        <f aca="false">"0035215"</f>
        <v>0035215</v>
      </c>
      <c r="D1993" s="37" t="s">
        <v>1592</v>
      </c>
      <c r="E1993" s="35" t="n">
        <v>2007</v>
      </c>
      <c r="F1993" s="38" t="n">
        <v>835</v>
      </c>
      <c r="G1993" s="39" t="n">
        <v>1</v>
      </c>
      <c r="H1993" s="40" t="n">
        <v>90</v>
      </c>
    </row>
    <row r="1994" s="33" customFormat="true" ht="14.25" hidden="false" customHeight="false" outlineLevel="0" collapsed="false">
      <c r="A1994" s="34" t="n">
        <f aca="false">A1993+1</f>
        <v>1989</v>
      </c>
      <c r="B1994" s="35" t="s">
        <v>1555</v>
      </c>
      <c r="C1994" s="35" t="str">
        <f aca="false">"0035216"</f>
        <v>0035216</v>
      </c>
      <c r="D1994" s="37" t="s">
        <v>1593</v>
      </c>
      <c r="E1994" s="35" t="n">
        <v>2007</v>
      </c>
      <c r="F1994" s="38" t="n">
        <v>1505</v>
      </c>
      <c r="G1994" s="39" t="n">
        <v>3</v>
      </c>
      <c r="H1994" s="40" t="n">
        <v>420</v>
      </c>
    </row>
    <row r="1995" s="33" customFormat="true" ht="14.25" hidden="false" customHeight="false" outlineLevel="0" collapsed="false">
      <c r="A1995" s="34" t="n">
        <f aca="false">A1994+1</f>
        <v>1990</v>
      </c>
      <c r="B1995" s="35" t="s">
        <v>1555</v>
      </c>
      <c r="C1995" s="35" t="str">
        <f aca="false">"0035222"</f>
        <v>0035222</v>
      </c>
      <c r="D1995" s="37" t="s">
        <v>1594</v>
      </c>
      <c r="E1995" s="35" t="n">
        <v>2007</v>
      </c>
      <c r="F1995" s="38" t="n">
        <v>1206</v>
      </c>
      <c r="G1995" s="39" t="n">
        <v>1</v>
      </c>
      <c r="H1995" s="40" t="n">
        <v>110</v>
      </c>
    </row>
    <row r="1996" s="33" customFormat="true" ht="14.25" hidden="false" customHeight="false" outlineLevel="0" collapsed="false">
      <c r="A1996" s="34" t="n">
        <f aca="false">A1995+1</f>
        <v>1991</v>
      </c>
      <c r="B1996" s="35" t="s">
        <v>1555</v>
      </c>
      <c r="C1996" s="35" t="str">
        <f aca="false">"0035232"</f>
        <v>0035232</v>
      </c>
      <c r="D1996" s="37" t="s">
        <v>1595</v>
      </c>
      <c r="E1996" s="35" t="n">
        <v>2007</v>
      </c>
      <c r="F1996" s="38" t="n">
        <v>270</v>
      </c>
      <c r="G1996" s="39" t="n">
        <v>1</v>
      </c>
      <c r="H1996" s="40" t="n">
        <v>25</v>
      </c>
    </row>
    <row r="1997" s="33" customFormat="true" ht="14.25" hidden="false" customHeight="false" outlineLevel="0" collapsed="false">
      <c r="A1997" s="34" t="n">
        <f aca="false">A1996+1</f>
        <v>1992</v>
      </c>
      <c r="B1997" s="35" t="s">
        <v>1555</v>
      </c>
      <c r="C1997" s="35" t="str">
        <f aca="false">"0036454"</f>
        <v>0036454</v>
      </c>
      <c r="D1997" s="37" t="s">
        <v>1596</v>
      </c>
      <c r="E1997" s="35" t="n">
        <v>2007</v>
      </c>
      <c r="F1997" s="38" t="n">
        <v>2844.2</v>
      </c>
      <c r="G1997" s="39" t="n">
        <v>8</v>
      </c>
      <c r="H1997" s="40" t="n">
        <v>2560</v>
      </c>
    </row>
    <row r="1998" s="33" customFormat="true" ht="14.25" hidden="false" customHeight="false" outlineLevel="0" collapsed="false">
      <c r="A1998" s="34" t="n">
        <f aca="false">A1997+1</f>
        <v>1993</v>
      </c>
      <c r="B1998" s="35" t="s">
        <v>1555</v>
      </c>
      <c r="C1998" s="35" t="str">
        <f aca="false">"0037530"</f>
        <v>0037530</v>
      </c>
      <c r="D1998" s="37" t="s">
        <v>1597</v>
      </c>
      <c r="E1998" s="35" t="n">
        <v>2008</v>
      </c>
      <c r="F1998" s="38" t="n">
        <v>3125</v>
      </c>
      <c r="G1998" s="39" t="n">
        <v>1</v>
      </c>
      <c r="H1998" s="40" t="n">
        <v>200</v>
      </c>
    </row>
    <row r="1999" s="33" customFormat="true" ht="14.25" hidden="false" customHeight="false" outlineLevel="0" collapsed="false">
      <c r="A1999" s="34" t="n">
        <f aca="false">A1998+1</f>
        <v>1994</v>
      </c>
      <c r="B1999" s="35" t="s">
        <v>1555</v>
      </c>
      <c r="C1999" s="35" t="str">
        <f aca="false">"0037707"</f>
        <v>0037707</v>
      </c>
      <c r="D1999" s="37" t="s">
        <v>1598</v>
      </c>
      <c r="E1999" s="35" t="n">
        <v>2008</v>
      </c>
      <c r="F1999" s="38" t="n">
        <v>7336.5</v>
      </c>
      <c r="G1999" s="39" t="n">
        <v>1</v>
      </c>
      <c r="H1999" s="40" t="n">
        <v>460</v>
      </c>
    </row>
    <row r="2000" s="33" customFormat="true" ht="14.25" hidden="false" customHeight="false" outlineLevel="0" collapsed="false">
      <c r="A2000" s="34" t="n">
        <f aca="false">A1999+1</f>
        <v>1995</v>
      </c>
      <c r="B2000" s="35" t="s">
        <v>1555</v>
      </c>
      <c r="C2000" s="35" t="str">
        <f aca="false">"0037711"</f>
        <v>0037711</v>
      </c>
      <c r="D2000" s="37" t="s">
        <v>80</v>
      </c>
      <c r="E2000" s="35" t="n">
        <v>2008</v>
      </c>
      <c r="F2000" s="38" t="n">
        <v>932</v>
      </c>
      <c r="G2000" s="39" t="n">
        <v>1</v>
      </c>
      <c r="H2000" s="40" t="n">
        <v>95</v>
      </c>
    </row>
    <row r="2001" s="33" customFormat="true" ht="14.25" hidden="false" customHeight="false" outlineLevel="0" collapsed="false">
      <c r="A2001" s="34" t="n">
        <f aca="false">A2000+1</f>
        <v>1996</v>
      </c>
      <c r="B2001" s="35" t="s">
        <v>1555</v>
      </c>
      <c r="C2001" s="35" t="str">
        <f aca="false">"0037822"</f>
        <v>0037822</v>
      </c>
      <c r="D2001" s="37" t="s">
        <v>1299</v>
      </c>
      <c r="E2001" s="35" t="n">
        <v>2008</v>
      </c>
      <c r="F2001" s="38" t="n">
        <v>880</v>
      </c>
      <c r="G2001" s="39" t="n">
        <v>1</v>
      </c>
      <c r="H2001" s="40" t="n">
        <v>75</v>
      </c>
    </row>
    <row r="2002" s="33" customFormat="true" ht="14.25" hidden="false" customHeight="false" outlineLevel="0" collapsed="false">
      <c r="A2002" s="34" t="n">
        <f aca="false">A2001+1</f>
        <v>1997</v>
      </c>
      <c r="B2002" s="35" t="s">
        <v>1555</v>
      </c>
      <c r="C2002" s="35" t="str">
        <f aca="false">"0037937"</f>
        <v>0037937</v>
      </c>
      <c r="D2002" s="37" t="s">
        <v>1599</v>
      </c>
      <c r="E2002" s="35" t="n">
        <v>2008</v>
      </c>
      <c r="F2002" s="38" t="n">
        <v>90.47</v>
      </c>
      <c r="G2002" s="39" t="n">
        <v>1</v>
      </c>
      <c r="H2002" s="40" t="n">
        <v>5</v>
      </c>
    </row>
    <row r="2003" s="33" customFormat="true" ht="14.25" hidden="false" customHeight="false" outlineLevel="0" collapsed="false">
      <c r="A2003" s="42" t="n">
        <f aca="false">A2002+1</f>
        <v>1998</v>
      </c>
      <c r="B2003" s="35" t="s">
        <v>1555</v>
      </c>
      <c r="C2003" s="35" t="str">
        <f aca="false">"0039405"</f>
        <v>0039405</v>
      </c>
      <c r="D2003" s="37" t="s">
        <v>1600</v>
      </c>
      <c r="E2003" s="35" t="n">
        <v>2008</v>
      </c>
      <c r="F2003" s="38" t="n">
        <f aca="false">850082.64*1.05</f>
        <v>892586.772</v>
      </c>
      <c r="G2003" s="39" t="n">
        <v>1</v>
      </c>
      <c r="H2003" s="40" t="n">
        <v>108540</v>
      </c>
    </row>
    <row r="2004" s="33" customFormat="true" ht="14.25" hidden="false" customHeight="false" outlineLevel="0" collapsed="false">
      <c r="A2004" s="34" t="n">
        <f aca="false">A2003+1</f>
        <v>1999</v>
      </c>
      <c r="B2004" s="35" t="s">
        <v>1555</v>
      </c>
      <c r="C2004" s="35" t="str">
        <f aca="false">"0039854"</f>
        <v>0039854</v>
      </c>
      <c r="D2004" s="37" t="s">
        <v>1601</v>
      </c>
      <c r="E2004" s="35" t="n">
        <v>2012</v>
      </c>
      <c r="F2004" s="38" t="n">
        <v>65820.46</v>
      </c>
      <c r="G2004" s="39" t="n">
        <v>1</v>
      </c>
      <c r="H2004" s="40" t="n">
        <v>15340</v>
      </c>
    </row>
    <row r="2005" s="33" customFormat="true" ht="14.25" hidden="false" customHeight="false" outlineLevel="0" collapsed="false">
      <c r="A2005" s="34" t="n">
        <f aca="false">A2004+1</f>
        <v>2000</v>
      </c>
      <c r="B2005" s="35" t="s">
        <v>1555</v>
      </c>
      <c r="C2005" s="35" t="str">
        <f aca="false">"0039855"</f>
        <v>0039855</v>
      </c>
      <c r="D2005" s="37" t="s">
        <v>1602</v>
      </c>
      <c r="E2005" s="35" t="n">
        <v>2009</v>
      </c>
      <c r="F2005" s="38" t="n">
        <v>70407.96</v>
      </c>
      <c r="G2005" s="39" t="n">
        <v>1</v>
      </c>
      <c r="H2005" s="40" t="n">
        <v>9700</v>
      </c>
    </row>
    <row r="2006" s="33" customFormat="true" ht="14.25" hidden="false" customHeight="false" outlineLevel="0" collapsed="false">
      <c r="A2006" s="34" t="n">
        <f aca="false">A2005+1</f>
        <v>2001</v>
      </c>
      <c r="B2006" s="35" t="s">
        <v>1555</v>
      </c>
      <c r="C2006" s="35" t="str">
        <f aca="false">"0040595"</f>
        <v>0040595</v>
      </c>
      <c r="D2006" s="37" t="s">
        <v>1603</v>
      </c>
      <c r="E2006" s="35" t="n">
        <v>2009</v>
      </c>
      <c r="F2006" s="38" t="n">
        <v>16158.39</v>
      </c>
      <c r="G2006" s="39" t="n">
        <v>1</v>
      </c>
      <c r="H2006" s="40" t="n">
        <v>2230</v>
      </c>
    </row>
    <row r="2007" s="33" customFormat="true" ht="14.25" hidden="false" customHeight="false" outlineLevel="0" collapsed="false">
      <c r="A2007" s="34" t="n">
        <f aca="false">A2006+1</f>
        <v>2002</v>
      </c>
      <c r="B2007" s="35" t="s">
        <v>1555</v>
      </c>
      <c r="C2007" s="35" t="str">
        <f aca="false">"0040596"</f>
        <v>0040596</v>
      </c>
      <c r="D2007" s="37" t="s">
        <v>1604</v>
      </c>
      <c r="E2007" s="35" t="n">
        <v>2009</v>
      </c>
      <c r="F2007" s="38" t="n">
        <v>4456.11</v>
      </c>
      <c r="G2007" s="39" t="n">
        <v>2</v>
      </c>
      <c r="H2007" s="40" t="n">
        <v>1000</v>
      </c>
    </row>
    <row r="2008" s="33" customFormat="true" ht="14.25" hidden="false" customHeight="false" outlineLevel="0" collapsed="false">
      <c r="A2008" s="34" t="n">
        <f aca="false">A2007+1</f>
        <v>2003</v>
      </c>
      <c r="B2008" s="35" t="s">
        <v>1555</v>
      </c>
      <c r="C2008" s="35" t="str">
        <f aca="false">"0040598"</f>
        <v>0040598</v>
      </c>
      <c r="D2008" s="37" t="s">
        <v>1605</v>
      </c>
      <c r="E2008" s="35" t="n">
        <v>2009</v>
      </c>
      <c r="F2008" s="38" t="n">
        <v>8961.29</v>
      </c>
      <c r="G2008" s="39" t="n">
        <v>8</v>
      </c>
      <c r="H2008" s="40" t="n">
        <v>8000</v>
      </c>
    </row>
    <row r="2009" s="33" customFormat="true" ht="14.25" hidden="false" customHeight="false" outlineLevel="0" collapsed="false">
      <c r="A2009" s="34" t="n">
        <f aca="false">A2008+1</f>
        <v>2004</v>
      </c>
      <c r="B2009" s="35" t="s">
        <v>1555</v>
      </c>
      <c r="C2009" s="35" t="str">
        <f aca="false">"0040606"</f>
        <v>0040606</v>
      </c>
      <c r="D2009" s="37" t="s">
        <v>1606</v>
      </c>
      <c r="E2009" s="35" t="n">
        <v>2009</v>
      </c>
      <c r="F2009" s="38" t="n">
        <v>3280.78</v>
      </c>
      <c r="G2009" s="39" t="n">
        <v>8</v>
      </c>
      <c r="H2009" s="40" t="n">
        <v>2960</v>
      </c>
    </row>
    <row r="2010" s="33" customFormat="true" ht="14.25" hidden="false" customHeight="false" outlineLevel="0" collapsed="false">
      <c r="A2010" s="34" t="n">
        <f aca="false">A2009+1</f>
        <v>2005</v>
      </c>
      <c r="B2010" s="35" t="s">
        <v>1555</v>
      </c>
      <c r="C2010" s="35" t="str">
        <f aca="false">"0040614"</f>
        <v>0040614</v>
      </c>
      <c r="D2010" s="37" t="s">
        <v>1607</v>
      </c>
      <c r="E2010" s="35" t="n">
        <v>2009</v>
      </c>
      <c r="F2010" s="38" t="n">
        <v>3220.97</v>
      </c>
      <c r="G2010" s="39" t="n">
        <v>1</v>
      </c>
      <c r="H2010" s="40" t="n">
        <v>210</v>
      </c>
    </row>
    <row r="2011" s="33" customFormat="true" ht="14.25" hidden="false" customHeight="false" outlineLevel="0" collapsed="false">
      <c r="A2011" s="34" t="n">
        <f aca="false">A2010+1</f>
        <v>2006</v>
      </c>
      <c r="B2011" s="35" t="s">
        <v>1555</v>
      </c>
      <c r="C2011" s="35" t="str">
        <f aca="false">"0040615"</f>
        <v>0040615</v>
      </c>
      <c r="D2011" s="37" t="s">
        <v>1608</v>
      </c>
      <c r="E2011" s="35" t="n">
        <v>2009</v>
      </c>
      <c r="F2011" s="38" t="n">
        <v>19226.48</v>
      </c>
      <c r="G2011" s="39" t="n">
        <v>1</v>
      </c>
      <c r="H2011" s="40" t="n">
        <v>2150</v>
      </c>
    </row>
    <row r="2012" s="33" customFormat="true" ht="14.25" hidden="false" customHeight="false" outlineLevel="0" collapsed="false">
      <c r="A2012" s="34" t="n">
        <f aca="false">A2011+1</f>
        <v>2007</v>
      </c>
      <c r="B2012" s="35" t="s">
        <v>1555</v>
      </c>
      <c r="C2012" s="35" t="str">
        <f aca="false">"0040617"</f>
        <v>0040617</v>
      </c>
      <c r="D2012" s="37" t="s">
        <v>1609</v>
      </c>
      <c r="E2012" s="35" t="n">
        <v>2009</v>
      </c>
      <c r="F2012" s="38" t="n">
        <v>5222.5</v>
      </c>
      <c r="G2012" s="39" t="n">
        <v>1</v>
      </c>
      <c r="H2012" s="40" t="n">
        <v>590</v>
      </c>
    </row>
    <row r="2013" s="33" customFormat="true" ht="14.25" hidden="false" customHeight="false" outlineLevel="0" collapsed="false">
      <c r="A2013" s="34" t="n">
        <f aca="false">A2012+1</f>
        <v>2008</v>
      </c>
      <c r="B2013" s="35" t="s">
        <v>1555</v>
      </c>
      <c r="C2013" s="35" t="str">
        <f aca="false">"0040618"</f>
        <v>0040618</v>
      </c>
      <c r="D2013" s="37" t="s">
        <v>1610</v>
      </c>
      <c r="E2013" s="35" t="n">
        <v>2009</v>
      </c>
      <c r="F2013" s="38" t="n">
        <v>3956.65</v>
      </c>
      <c r="G2013" s="39" t="n">
        <v>2</v>
      </c>
      <c r="H2013" s="40" t="n">
        <v>880</v>
      </c>
    </row>
    <row r="2014" s="33" customFormat="true" ht="14.25" hidden="false" customHeight="false" outlineLevel="0" collapsed="false">
      <c r="A2014" s="34" t="n">
        <f aca="false">A2013+1</f>
        <v>2009</v>
      </c>
      <c r="B2014" s="35" t="s">
        <v>1555</v>
      </c>
      <c r="C2014" s="35" t="str">
        <f aca="false">"0040620"</f>
        <v>0040620</v>
      </c>
      <c r="D2014" s="37" t="s">
        <v>1611</v>
      </c>
      <c r="E2014" s="35" t="n">
        <v>2009</v>
      </c>
      <c r="F2014" s="38" t="n">
        <v>12967.76</v>
      </c>
      <c r="G2014" s="39" t="n">
        <v>1</v>
      </c>
      <c r="H2014" s="40" t="n">
        <v>1450</v>
      </c>
    </row>
    <row r="2015" s="33" customFormat="true" ht="14.25" hidden="false" customHeight="false" outlineLevel="0" collapsed="false">
      <c r="A2015" s="34" t="n">
        <f aca="false">A2014+1</f>
        <v>2010</v>
      </c>
      <c r="B2015" s="35" t="s">
        <v>1555</v>
      </c>
      <c r="C2015" s="35" t="str">
        <f aca="false">"0040621"</f>
        <v>0040621</v>
      </c>
      <c r="D2015" s="37" t="s">
        <v>1612</v>
      </c>
      <c r="E2015" s="35" t="n">
        <v>2009</v>
      </c>
      <c r="F2015" s="38" t="n">
        <v>3075.32</v>
      </c>
      <c r="G2015" s="39" t="n">
        <v>1</v>
      </c>
      <c r="H2015" s="40" t="n">
        <v>340</v>
      </c>
    </row>
    <row r="2016" s="33" customFormat="true" ht="14.25" hidden="false" customHeight="false" outlineLevel="0" collapsed="false">
      <c r="A2016" s="34" t="n">
        <f aca="false">A2015+1</f>
        <v>2011</v>
      </c>
      <c r="B2016" s="35" t="s">
        <v>1555</v>
      </c>
      <c r="C2016" s="35" t="str">
        <f aca="false">"0040622"</f>
        <v>0040622</v>
      </c>
      <c r="D2016" s="37" t="s">
        <v>1613</v>
      </c>
      <c r="E2016" s="35" t="n">
        <v>2009</v>
      </c>
      <c r="F2016" s="38" t="n">
        <v>11685.13</v>
      </c>
      <c r="G2016" s="39" t="n">
        <v>1</v>
      </c>
      <c r="H2016" s="40" t="n">
        <v>1085</v>
      </c>
    </row>
    <row r="2017" s="33" customFormat="true" ht="14.25" hidden="false" customHeight="false" outlineLevel="0" collapsed="false">
      <c r="A2017" s="34" t="n">
        <f aca="false">A2016+1</f>
        <v>2012</v>
      </c>
      <c r="B2017" s="35" t="s">
        <v>1555</v>
      </c>
      <c r="C2017" s="35" t="str">
        <f aca="false">"0040623"</f>
        <v>0040623</v>
      </c>
      <c r="D2017" s="37" t="s">
        <v>1614</v>
      </c>
      <c r="E2017" s="35" t="n">
        <v>2009</v>
      </c>
      <c r="F2017" s="38" t="n">
        <v>5140.93</v>
      </c>
      <c r="G2017" s="39" t="n">
        <v>1</v>
      </c>
      <c r="H2017" s="40" t="n">
        <v>710</v>
      </c>
    </row>
    <row r="2018" s="33" customFormat="true" ht="14.25" hidden="false" customHeight="false" outlineLevel="0" collapsed="false">
      <c r="A2018" s="34" t="n">
        <f aca="false">A2017+1</f>
        <v>2013</v>
      </c>
      <c r="B2018" s="35" t="s">
        <v>1555</v>
      </c>
      <c r="C2018" s="35" t="str">
        <f aca="false">"0040864"</f>
        <v>0040864</v>
      </c>
      <c r="D2018" s="37" t="s">
        <v>1615</v>
      </c>
      <c r="E2018" s="35" t="n">
        <v>2010</v>
      </c>
      <c r="F2018" s="38" t="n">
        <v>347653.18</v>
      </c>
      <c r="G2018" s="39" t="n">
        <v>1</v>
      </c>
      <c r="H2018" s="40" t="n">
        <v>42550</v>
      </c>
    </row>
    <row r="2019" s="33" customFormat="true" ht="14.25" hidden="false" customHeight="false" outlineLevel="0" collapsed="false">
      <c r="A2019" s="34" t="n">
        <f aca="false">A2018+1</f>
        <v>2014</v>
      </c>
      <c r="B2019" s="35" t="s">
        <v>1555</v>
      </c>
      <c r="C2019" s="35" t="str">
        <f aca="false">"0040921"</f>
        <v>0040921</v>
      </c>
      <c r="D2019" s="37" t="s">
        <v>1616</v>
      </c>
      <c r="E2019" s="35" t="n">
        <v>2010</v>
      </c>
      <c r="F2019" s="38" t="n">
        <v>28857.41</v>
      </c>
      <c r="G2019" s="39" t="n">
        <v>1</v>
      </c>
      <c r="H2019" s="40" t="n">
        <v>3530</v>
      </c>
    </row>
    <row r="2020" s="33" customFormat="true" ht="14.25" hidden="false" customHeight="false" outlineLevel="0" collapsed="false">
      <c r="A2020" s="34" t="n">
        <f aca="false">A2019+1</f>
        <v>2015</v>
      </c>
      <c r="B2020" s="35" t="s">
        <v>1555</v>
      </c>
      <c r="C2020" s="35" t="str">
        <f aca="false">"0040964"</f>
        <v>0040964</v>
      </c>
      <c r="D2020" s="37" t="s">
        <v>1617</v>
      </c>
      <c r="E2020" s="35" t="n">
        <v>2010</v>
      </c>
      <c r="F2020" s="38" t="n">
        <v>2974.64</v>
      </c>
      <c r="G2020" s="39" t="n">
        <v>1</v>
      </c>
      <c r="H2020" s="40" t="n">
        <v>365</v>
      </c>
    </row>
    <row r="2021" s="33" customFormat="true" ht="14.25" hidden="false" customHeight="false" outlineLevel="0" collapsed="false">
      <c r="A2021" s="34" t="n">
        <f aca="false">A2020+1</f>
        <v>2016</v>
      </c>
      <c r="B2021" s="35" t="s">
        <v>1555</v>
      </c>
      <c r="C2021" s="35" t="str">
        <f aca="false">"0040965"</f>
        <v>0040965</v>
      </c>
      <c r="D2021" s="37" t="s">
        <v>1618</v>
      </c>
      <c r="E2021" s="35" t="n">
        <v>2010</v>
      </c>
      <c r="F2021" s="38" t="n">
        <v>38785.07</v>
      </c>
      <c r="G2021" s="39" t="n">
        <v>1</v>
      </c>
      <c r="H2021" s="40" t="n">
        <v>4750</v>
      </c>
    </row>
    <row r="2022" s="33" customFormat="true" ht="14.25" hidden="false" customHeight="false" outlineLevel="0" collapsed="false">
      <c r="A2022" s="34" t="n">
        <f aca="false">A2021+1</f>
        <v>2017</v>
      </c>
      <c r="B2022" s="35" t="s">
        <v>1555</v>
      </c>
      <c r="C2022" s="35" t="str">
        <f aca="false">"0040966"</f>
        <v>0040966</v>
      </c>
      <c r="D2022" s="37" t="s">
        <v>1619</v>
      </c>
      <c r="E2022" s="35" t="n">
        <v>2010</v>
      </c>
      <c r="F2022" s="38" t="n">
        <v>77892.28</v>
      </c>
      <c r="G2022" s="39" t="n">
        <v>1</v>
      </c>
      <c r="H2022" s="40" t="n">
        <v>12650</v>
      </c>
    </row>
    <row r="2023" s="33" customFormat="true" ht="14.25" hidden="false" customHeight="false" outlineLevel="0" collapsed="false">
      <c r="A2023" s="34" t="n">
        <f aca="false">A2022+1</f>
        <v>2018</v>
      </c>
      <c r="B2023" s="35" t="s">
        <v>1555</v>
      </c>
      <c r="C2023" s="35" t="str">
        <f aca="false">"0040967"</f>
        <v>0040967</v>
      </c>
      <c r="D2023" s="37" t="s">
        <v>1620</v>
      </c>
      <c r="E2023" s="35" t="n">
        <v>2010</v>
      </c>
      <c r="F2023" s="38" t="n">
        <v>11897.98</v>
      </c>
      <c r="G2023" s="39" t="n">
        <v>1</v>
      </c>
      <c r="H2023" s="40" t="n">
        <v>1930</v>
      </c>
    </row>
    <row r="2024" s="33" customFormat="true" ht="14.25" hidden="false" customHeight="false" outlineLevel="0" collapsed="false">
      <c r="A2024" s="34" t="n">
        <f aca="false">A2023+1</f>
        <v>2019</v>
      </c>
      <c r="B2024" s="35" t="s">
        <v>1555</v>
      </c>
      <c r="C2024" s="35" t="str">
        <f aca="false">"0040968"</f>
        <v>0040968</v>
      </c>
      <c r="D2024" s="37" t="s">
        <v>1621</v>
      </c>
      <c r="E2024" s="35" t="n">
        <v>2010</v>
      </c>
      <c r="F2024" s="38" t="n">
        <v>48590.38</v>
      </c>
      <c r="G2024" s="39" t="n">
        <v>1</v>
      </c>
      <c r="H2024" s="40" t="n">
        <v>7900</v>
      </c>
    </row>
    <row r="2025" s="33" customFormat="true" ht="14.25" hidden="false" customHeight="false" outlineLevel="0" collapsed="false">
      <c r="A2025" s="42" t="n">
        <f aca="false">A2024+1</f>
        <v>2020</v>
      </c>
      <c r="B2025" s="35" t="s">
        <v>1555</v>
      </c>
      <c r="C2025" s="35" t="str">
        <f aca="false">"0040969"</f>
        <v>0040969</v>
      </c>
      <c r="D2025" s="37" t="s">
        <v>1622</v>
      </c>
      <c r="E2025" s="35" t="n">
        <v>2010</v>
      </c>
      <c r="F2025" s="38" t="n">
        <v>65061.38</v>
      </c>
      <c r="G2025" s="39" t="n">
        <v>1</v>
      </c>
      <c r="H2025" s="40" t="n">
        <v>10570</v>
      </c>
    </row>
    <row r="2026" s="33" customFormat="true" ht="14.25" hidden="false" customHeight="false" outlineLevel="0" collapsed="false">
      <c r="A2026" s="34" t="n">
        <f aca="false">A2025+1</f>
        <v>2021</v>
      </c>
      <c r="B2026" s="35" t="s">
        <v>1555</v>
      </c>
      <c r="C2026" s="35" t="str">
        <f aca="false">"0040970"</f>
        <v>0040970</v>
      </c>
      <c r="D2026" s="37" t="s">
        <v>1623</v>
      </c>
      <c r="E2026" s="35" t="n">
        <v>2010</v>
      </c>
      <c r="F2026" s="38" t="n">
        <v>321681.39</v>
      </c>
      <c r="G2026" s="39" t="n">
        <v>1</v>
      </c>
      <c r="H2026" s="40" t="n">
        <v>52240</v>
      </c>
    </row>
    <row r="2027" s="33" customFormat="true" ht="14.25" hidden="false" customHeight="false" outlineLevel="0" collapsed="false">
      <c r="A2027" s="34" t="n">
        <f aca="false">A2026+1</f>
        <v>2022</v>
      </c>
      <c r="B2027" s="35" t="s">
        <v>1555</v>
      </c>
      <c r="C2027" s="35" t="str">
        <f aca="false">"0041523"</f>
        <v>0041523</v>
      </c>
      <c r="D2027" s="37" t="s">
        <v>1624</v>
      </c>
      <c r="E2027" s="35" t="n">
        <v>2011</v>
      </c>
      <c r="F2027" s="38" t="n">
        <v>74735.46</v>
      </c>
      <c r="G2027" s="39" t="n">
        <v>1</v>
      </c>
      <c r="H2027" s="40" t="n">
        <v>10760</v>
      </c>
    </row>
    <row r="2028" s="33" customFormat="true" ht="14.25" hidden="false" customHeight="false" outlineLevel="0" collapsed="false">
      <c r="A2028" s="34" t="n">
        <f aca="false">A2027+1</f>
        <v>2023</v>
      </c>
      <c r="B2028" s="35" t="s">
        <v>1555</v>
      </c>
      <c r="C2028" s="35" t="str">
        <f aca="false">"0041736"</f>
        <v>0041736</v>
      </c>
      <c r="D2028" s="37" t="s">
        <v>1625</v>
      </c>
      <c r="E2028" s="35" t="n">
        <v>2011</v>
      </c>
      <c r="F2028" s="38" t="n">
        <v>24374.63</v>
      </c>
      <c r="G2028" s="39" t="n">
        <v>1</v>
      </c>
      <c r="H2028" s="40" t="n">
        <v>3510</v>
      </c>
    </row>
    <row r="2029" s="33" customFormat="true" ht="14.25" hidden="false" customHeight="false" outlineLevel="0" collapsed="false">
      <c r="A2029" s="34" t="n">
        <f aca="false">A2028+1</f>
        <v>2024</v>
      </c>
      <c r="B2029" s="35" t="s">
        <v>1555</v>
      </c>
      <c r="C2029" s="35" t="str">
        <f aca="false">"0042197"</f>
        <v>0042197</v>
      </c>
      <c r="D2029" s="37" t="s">
        <v>1626</v>
      </c>
      <c r="E2029" s="35" t="n">
        <v>2012</v>
      </c>
      <c r="F2029" s="38" t="n">
        <v>139180.28</v>
      </c>
      <c r="G2029" s="39" t="n">
        <v>1</v>
      </c>
      <c r="H2029" s="40" t="n">
        <v>24830</v>
      </c>
    </row>
    <row r="2030" s="33" customFormat="true" ht="14.25" hidden="false" customHeight="false" outlineLevel="0" collapsed="false">
      <c r="A2030" s="34" t="n">
        <f aca="false">A2029+1</f>
        <v>2025</v>
      </c>
      <c r="B2030" s="35" t="s">
        <v>1555</v>
      </c>
      <c r="C2030" s="35" t="str">
        <f aca="false">"0043878"</f>
        <v>0043878</v>
      </c>
      <c r="D2030" s="37" t="s">
        <v>1627</v>
      </c>
      <c r="E2030" s="35" t="n">
        <v>2014</v>
      </c>
      <c r="F2030" s="38" t="n">
        <v>54963.98</v>
      </c>
      <c r="G2030" s="39" t="n">
        <v>1</v>
      </c>
      <c r="H2030" s="40" t="n">
        <v>15520</v>
      </c>
    </row>
    <row r="2031" s="33" customFormat="true" ht="14.25" hidden="false" customHeight="false" outlineLevel="0" collapsed="false">
      <c r="A2031" s="34" t="n">
        <f aca="false">A2030+1</f>
        <v>2026</v>
      </c>
      <c r="B2031" s="35" t="s">
        <v>1555</v>
      </c>
      <c r="C2031" s="35" t="str">
        <f aca="false">"0043879"</f>
        <v>0043879</v>
      </c>
      <c r="D2031" s="37" t="s">
        <v>1628</v>
      </c>
      <c r="E2031" s="35" t="n">
        <v>2014</v>
      </c>
      <c r="F2031" s="38" t="n">
        <v>34689.98</v>
      </c>
      <c r="G2031" s="39" t="n">
        <v>1</v>
      </c>
      <c r="H2031" s="40" t="n">
        <v>9800</v>
      </c>
    </row>
    <row r="2032" s="33" customFormat="true" ht="14.25" hidden="false" customHeight="false" outlineLevel="0" collapsed="false">
      <c r="A2032" s="34" t="n">
        <f aca="false">A2031+1</f>
        <v>2027</v>
      </c>
      <c r="B2032" s="35" t="s">
        <v>1555</v>
      </c>
      <c r="C2032" s="35" t="str">
        <f aca="false">"0044262"</f>
        <v>0044262</v>
      </c>
      <c r="D2032" s="37" t="s">
        <v>1629</v>
      </c>
      <c r="E2032" s="35" t="n">
        <v>2014</v>
      </c>
      <c r="F2032" s="38" t="n">
        <v>130196.09</v>
      </c>
      <c r="G2032" s="39" t="n">
        <v>1</v>
      </c>
      <c r="H2032" s="40" t="n">
        <v>36770</v>
      </c>
    </row>
    <row r="2033" s="33" customFormat="true" ht="14.25" hidden="false" customHeight="false" outlineLevel="0" collapsed="false">
      <c r="A2033" s="34" t="n">
        <f aca="false">A2032+1</f>
        <v>2028</v>
      </c>
      <c r="B2033" s="35" t="s">
        <v>1555</v>
      </c>
      <c r="C2033" s="35" t="str">
        <f aca="false">"0044330"</f>
        <v>0044330</v>
      </c>
      <c r="D2033" s="37" t="s">
        <v>1630</v>
      </c>
      <c r="E2033" s="35" t="n">
        <v>2014</v>
      </c>
      <c r="F2033" s="38" t="n">
        <v>104879.61</v>
      </c>
      <c r="G2033" s="39" t="n">
        <v>1</v>
      </c>
      <c r="H2033" s="40" t="n">
        <v>35910</v>
      </c>
    </row>
    <row r="2034" s="33" customFormat="true" ht="14.25" hidden="false" customHeight="false" outlineLevel="0" collapsed="false">
      <c r="A2034" s="34" t="n">
        <f aca="false">A2033+1</f>
        <v>2029</v>
      </c>
      <c r="B2034" s="35" t="s">
        <v>1555</v>
      </c>
      <c r="C2034" s="35" t="str">
        <f aca="false">"0044964"</f>
        <v>0044964</v>
      </c>
      <c r="D2034" s="37" t="s">
        <v>1631</v>
      </c>
      <c r="E2034" s="35" t="n">
        <v>2015</v>
      </c>
      <c r="F2034" s="38" t="n">
        <v>131294.91</v>
      </c>
      <c r="G2034" s="39" t="n">
        <v>1</v>
      </c>
      <c r="H2034" s="40" t="n">
        <v>46220</v>
      </c>
    </row>
    <row r="2035" s="33" customFormat="true" ht="14.25" hidden="false" customHeight="false" outlineLevel="0" collapsed="false">
      <c r="A2035" s="34" t="n">
        <f aca="false">A2034+1</f>
        <v>2030</v>
      </c>
      <c r="B2035" s="35" t="s">
        <v>1632</v>
      </c>
      <c r="C2035" s="35" t="str">
        <f aca="false">"0000208"</f>
        <v>0000208</v>
      </c>
      <c r="D2035" s="37" t="s">
        <v>42</v>
      </c>
      <c r="E2035" s="35" t="n">
        <v>1974</v>
      </c>
      <c r="F2035" s="38" t="n">
        <v>56.29</v>
      </c>
      <c r="G2035" s="39" t="n">
        <v>1</v>
      </c>
      <c r="H2035" s="40" t="n">
        <v>5</v>
      </c>
    </row>
    <row r="2036" s="33" customFormat="true" ht="14.25" hidden="false" customHeight="false" outlineLevel="0" collapsed="false">
      <c r="A2036" s="34" t="n">
        <f aca="false">A2035+1</f>
        <v>2031</v>
      </c>
      <c r="B2036" s="35" t="s">
        <v>1632</v>
      </c>
      <c r="C2036" s="35" t="str">
        <f aca="false">"0000326"</f>
        <v>0000326</v>
      </c>
      <c r="D2036" s="37" t="s">
        <v>1633</v>
      </c>
      <c r="E2036" s="35" t="n">
        <v>1987</v>
      </c>
      <c r="F2036" s="38" t="n">
        <f aca="false">24422.93*1.2</f>
        <v>29307.516</v>
      </c>
      <c r="G2036" s="39" t="n">
        <v>1</v>
      </c>
      <c r="H2036" s="40" t="n">
        <v>1450</v>
      </c>
    </row>
    <row r="2037" s="33" customFormat="true" ht="14.25" hidden="false" customHeight="false" outlineLevel="0" collapsed="false">
      <c r="A2037" s="34" t="n">
        <f aca="false">A2036+1</f>
        <v>2032</v>
      </c>
      <c r="B2037" s="35" t="s">
        <v>1632</v>
      </c>
      <c r="C2037" s="35" t="str">
        <f aca="false">"0000351"</f>
        <v>0000351</v>
      </c>
      <c r="D2037" s="37" t="s">
        <v>1634</v>
      </c>
      <c r="E2037" s="35" t="n">
        <v>1987</v>
      </c>
      <c r="F2037" s="38" t="n">
        <f aca="false">48851.49*1.2</f>
        <v>58621.788</v>
      </c>
      <c r="G2037" s="39" t="n">
        <v>2</v>
      </c>
      <c r="H2037" s="40" t="n">
        <v>5800</v>
      </c>
    </row>
    <row r="2038" s="33" customFormat="true" ht="14.25" hidden="false" customHeight="false" outlineLevel="0" collapsed="false">
      <c r="A2038" s="34" t="n">
        <f aca="false">A2037+1</f>
        <v>2033</v>
      </c>
      <c r="B2038" s="35" t="s">
        <v>1632</v>
      </c>
      <c r="C2038" s="35" t="str">
        <f aca="false">"0000875"</f>
        <v>0000875</v>
      </c>
      <c r="D2038" s="37" t="s">
        <v>1635</v>
      </c>
      <c r="E2038" s="35" t="n">
        <v>1987</v>
      </c>
      <c r="F2038" s="38" t="n">
        <f aca="false">4885.71*1.2</f>
        <v>5862.852</v>
      </c>
      <c r="G2038" s="39" t="n">
        <v>1</v>
      </c>
      <c r="H2038" s="40" t="n">
        <v>290</v>
      </c>
    </row>
    <row r="2039" s="33" customFormat="true" ht="14.25" hidden="false" customHeight="false" outlineLevel="0" collapsed="false">
      <c r="A2039" s="46" t="n">
        <f aca="false">A2038+1</f>
        <v>2034</v>
      </c>
      <c r="B2039" s="35" t="s">
        <v>1632</v>
      </c>
      <c r="C2039" s="35" t="str">
        <f aca="false">"0001173"</f>
        <v>0001173</v>
      </c>
      <c r="D2039" s="37" t="s">
        <v>1636</v>
      </c>
      <c r="E2039" s="35" t="n">
        <v>1987</v>
      </c>
      <c r="F2039" s="38" t="n">
        <f aca="false">3908113.36*1.2</f>
        <v>4689736.032</v>
      </c>
      <c r="G2039" s="39" t="n">
        <v>1</v>
      </c>
      <c r="H2039" s="40" t="n">
        <v>246100</v>
      </c>
    </row>
    <row r="2040" s="33" customFormat="true" ht="14.25" hidden="false" customHeight="false" outlineLevel="0" collapsed="false">
      <c r="A2040" s="34" t="n">
        <f aca="false">A2039+1</f>
        <v>2035</v>
      </c>
      <c r="B2040" s="35" t="s">
        <v>1632</v>
      </c>
      <c r="C2040" s="35" t="str">
        <f aca="false">"0001229"</f>
        <v>0001229</v>
      </c>
      <c r="D2040" s="37" t="s">
        <v>1637</v>
      </c>
      <c r="E2040" s="35" t="n">
        <v>1989</v>
      </c>
      <c r="F2040" s="38" t="n">
        <v>12214.28</v>
      </c>
      <c r="G2040" s="39" t="n">
        <v>8</v>
      </c>
      <c r="H2040" s="40" t="n">
        <v>5040</v>
      </c>
    </row>
    <row r="2041" s="33" customFormat="true" ht="14.25" hidden="false" customHeight="false" outlineLevel="0" collapsed="false">
      <c r="A2041" s="34" t="n">
        <f aca="false">A2040+1</f>
        <v>2036</v>
      </c>
      <c r="B2041" s="35" t="s">
        <v>1632</v>
      </c>
      <c r="C2041" s="35" t="str">
        <f aca="false">"0001319"</f>
        <v>0001319</v>
      </c>
      <c r="D2041" s="37" t="s">
        <v>1638</v>
      </c>
      <c r="E2041" s="35" t="n">
        <v>1990</v>
      </c>
      <c r="F2041" s="38" t="n">
        <f aca="false">12214.28*1.1</f>
        <v>13435.708</v>
      </c>
      <c r="G2041" s="39" t="n">
        <v>5</v>
      </c>
      <c r="H2041" s="40" t="n">
        <v>3550</v>
      </c>
    </row>
    <row r="2042" s="33" customFormat="true" ht="14.25" hidden="false" customHeight="false" outlineLevel="0" collapsed="false">
      <c r="A2042" s="34" t="n">
        <f aca="false">A2041+1</f>
        <v>2037</v>
      </c>
      <c r="B2042" s="35" t="s">
        <v>1632</v>
      </c>
      <c r="C2042" s="35" t="str">
        <f aca="false">"0001331"</f>
        <v>0001331</v>
      </c>
      <c r="D2042" s="37" t="s">
        <v>1639</v>
      </c>
      <c r="E2042" s="35" t="n">
        <v>1990</v>
      </c>
      <c r="F2042" s="38" t="n">
        <f aca="false">12214.28*1.1</f>
        <v>13435.708</v>
      </c>
      <c r="G2042" s="39" t="n">
        <v>5</v>
      </c>
      <c r="H2042" s="40" t="n">
        <v>3550</v>
      </c>
    </row>
    <row r="2043" s="33" customFormat="true" ht="14.25" hidden="false" customHeight="false" outlineLevel="0" collapsed="false">
      <c r="A2043" s="34" t="n">
        <f aca="false">A2042+1</f>
        <v>2038</v>
      </c>
      <c r="B2043" s="35" t="s">
        <v>1632</v>
      </c>
      <c r="C2043" s="35" t="str">
        <f aca="false">"0001614"</f>
        <v>0001614</v>
      </c>
      <c r="D2043" s="37" t="s">
        <v>362</v>
      </c>
      <c r="E2043" s="35" t="n">
        <v>1987</v>
      </c>
      <c r="F2043" s="38" t="n">
        <f aca="false">24422.93*1.2</f>
        <v>29307.516</v>
      </c>
      <c r="G2043" s="39" t="n">
        <v>1</v>
      </c>
      <c r="H2043" s="40" t="n">
        <v>1450</v>
      </c>
    </row>
    <row r="2044" s="33" customFormat="true" ht="14.25" hidden="false" customHeight="false" outlineLevel="0" collapsed="false">
      <c r="A2044" s="46" t="n">
        <f aca="false">A2043+1</f>
        <v>2039</v>
      </c>
      <c r="B2044" s="35" t="s">
        <v>1632</v>
      </c>
      <c r="C2044" s="35" t="str">
        <f aca="false">"0001621"</f>
        <v>0001621</v>
      </c>
      <c r="D2044" s="37" t="s">
        <v>1640</v>
      </c>
      <c r="E2044" s="35" t="n">
        <v>1957</v>
      </c>
      <c r="F2044" s="38" t="n">
        <f aca="false">3908113.36*1.3</f>
        <v>5080547.368</v>
      </c>
      <c r="G2044" s="39" t="n">
        <v>1</v>
      </c>
      <c r="H2044" s="40" t="n">
        <v>120300</v>
      </c>
    </row>
    <row r="2045" s="33" customFormat="true" ht="14.25" hidden="false" customHeight="false" outlineLevel="0" collapsed="false">
      <c r="A2045" s="34" t="n">
        <f aca="false">A2044+1</f>
        <v>2040</v>
      </c>
      <c r="B2045" s="35" t="s">
        <v>1632</v>
      </c>
      <c r="C2045" s="35" t="str">
        <f aca="false">"0001813"</f>
        <v>0001813</v>
      </c>
      <c r="D2045" s="37" t="s">
        <v>1641</v>
      </c>
      <c r="E2045" s="35" t="n">
        <v>1987</v>
      </c>
      <c r="F2045" s="38" t="n">
        <f aca="false">24422.93*1.2</f>
        <v>29307.516</v>
      </c>
      <c r="G2045" s="39" t="n">
        <v>1</v>
      </c>
      <c r="H2045" s="40" t="n">
        <v>1450</v>
      </c>
    </row>
    <row r="2046" s="33" customFormat="true" ht="14.25" hidden="false" customHeight="false" outlineLevel="0" collapsed="false">
      <c r="A2046" s="34" t="n">
        <f aca="false">A2045+1</f>
        <v>2041</v>
      </c>
      <c r="B2046" s="35" t="s">
        <v>1632</v>
      </c>
      <c r="C2046" s="35" t="str">
        <f aca="false">"0002249"</f>
        <v>0002249</v>
      </c>
      <c r="D2046" s="37" t="s">
        <v>1229</v>
      </c>
      <c r="E2046" s="35" t="n">
        <v>1987</v>
      </c>
      <c r="F2046" s="38" t="n">
        <f aca="false">9771.42*1.2</f>
        <v>11725.704</v>
      </c>
      <c r="G2046" s="39" t="n">
        <v>1</v>
      </c>
      <c r="H2046" s="40" t="n">
        <v>615</v>
      </c>
    </row>
    <row r="2047" s="33" customFormat="true" ht="14.25" hidden="false" customHeight="false" outlineLevel="0" collapsed="false">
      <c r="A2047" s="46" t="n">
        <f aca="false">A2046+1</f>
        <v>2042</v>
      </c>
      <c r="B2047" s="35" t="s">
        <v>1632</v>
      </c>
      <c r="C2047" s="35" t="str">
        <f aca="false">"0002297"</f>
        <v>0002297</v>
      </c>
      <c r="D2047" s="37" t="s">
        <v>1642</v>
      </c>
      <c r="E2047" s="35" t="n">
        <v>1987</v>
      </c>
      <c r="F2047" s="38" t="n">
        <f aca="false">2442574.36*1.2</f>
        <v>2931089.232</v>
      </c>
      <c r="G2047" s="39" t="n">
        <v>1</v>
      </c>
      <c r="H2047" s="40" t="n">
        <v>145380</v>
      </c>
    </row>
    <row r="2048" s="33" customFormat="true" ht="14.25" hidden="false" customHeight="false" outlineLevel="0" collapsed="false">
      <c r="A2048" s="34" t="n">
        <f aca="false">A2047+1</f>
        <v>2043</v>
      </c>
      <c r="B2048" s="35" t="s">
        <v>1632</v>
      </c>
      <c r="C2048" s="35" t="str">
        <f aca="false">"0002714"</f>
        <v>0002714</v>
      </c>
      <c r="D2048" s="37" t="s">
        <v>1643</v>
      </c>
      <c r="E2048" s="35" t="n">
        <v>1987</v>
      </c>
      <c r="F2048" s="38" t="n">
        <f aca="false">24422.93*1.2</f>
        <v>29307.516</v>
      </c>
      <c r="G2048" s="39" t="n">
        <v>1</v>
      </c>
      <c r="H2048" s="40" t="n">
        <v>1450</v>
      </c>
    </row>
    <row r="2049" s="33" customFormat="true" ht="14.25" hidden="false" customHeight="false" outlineLevel="0" collapsed="false">
      <c r="A2049" s="46" t="n">
        <f aca="false">A2048+1</f>
        <v>2044</v>
      </c>
      <c r="B2049" s="35" t="s">
        <v>1632</v>
      </c>
      <c r="C2049" s="35" t="str">
        <f aca="false">"0002898"</f>
        <v>0002898</v>
      </c>
      <c r="D2049" s="37" t="s">
        <v>1644</v>
      </c>
      <c r="E2049" s="35" t="n">
        <v>1987</v>
      </c>
      <c r="F2049" s="38" t="n">
        <f aca="false">2442574.36*1.2</f>
        <v>2931089.232</v>
      </c>
      <c r="G2049" s="39" t="n">
        <v>1</v>
      </c>
      <c r="H2049" s="40" t="n">
        <v>153800</v>
      </c>
    </row>
    <row r="2050" s="33" customFormat="true" ht="14.25" hidden="false" customHeight="false" outlineLevel="0" collapsed="false">
      <c r="A2050" s="46" t="n">
        <f aca="false">A2049+1</f>
        <v>2045</v>
      </c>
      <c r="B2050" s="35" t="s">
        <v>1632</v>
      </c>
      <c r="C2050" s="35" t="str">
        <f aca="false">"0003088"</f>
        <v>0003088</v>
      </c>
      <c r="D2050" s="37" t="s">
        <v>1645</v>
      </c>
      <c r="E2050" s="35" t="n">
        <v>1987</v>
      </c>
      <c r="F2050" s="38" t="n">
        <f aca="false">977029.75*1.2</f>
        <v>1172435.7</v>
      </c>
      <c r="G2050" s="39" t="n">
        <v>1</v>
      </c>
      <c r="H2050" s="40" t="n">
        <v>61500</v>
      </c>
    </row>
    <row r="2051" s="33" customFormat="true" ht="14.25" hidden="false" customHeight="false" outlineLevel="0" collapsed="false">
      <c r="A2051" s="34" t="n">
        <f aca="false">A2050+1</f>
        <v>2046</v>
      </c>
      <c r="B2051" s="35" t="s">
        <v>1632</v>
      </c>
      <c r="C2051" s="35" t="str">
        <f aca="false">"0003448"</f>
        <v>0003448</v>
      </c>
      <c r="D2051" s="37" t="s">
        <v>1646</v>
      </c>
      <c r="E2051" s="35" t="n">
        <v>1987</v>
      </c>
      <c r="F2051" s="38" t="n">
        <f aca="false">24422.93*1.2</f>
        <v>29307.516</v>
      </c>
      <c r="G2051" s="39" t="n">
        <v>1</v>
      </c>
      <c r="H2051" s="40" t="n">
        <v>1450</v>
      </c>
    </row>
    <row r="2052" s="33" customFormat="true" ht="14.25" hidden="false" customHeight="false" outlineLevel="0" collapsed="false">
      <c r="A2052" s="34" t="n">
        <f aca="false">A2051+1</f>
        <v>2047</v>
      </c>
      <c r="B2052" s="35" t="s">
        <v>1632</v>
      </c>
      <c r="C2052" s="35" t="str">
        <f aca="false">"0004144"</f>
        <v>0004144</v>
      </c>
      <c r="D2052" s="37" t="s">
        <v>1194</v>
      </c>
      <c r="E2052" s="35" t="n">
        <v>1987</v>
      </c>
      <c r="F2052" s="38" t="n">
        <v>33.77</v>
      </c>
      <c r="G2052" s="39" t="n">
        <v>5</v>
      </c>
      <c r="H2052" s="40" t="n">
        <v>25</v>
      </c>
    </row>
    <row r="2053" s="33" customFormat="true" ht="14.25" hidden="false" customHeight="false" outlineLevel="0" collapsed="false">
      <c r="A2053" s="34" t="n">
        <f aca="false">A2052+1</f>
        <v>2048</v>
      </c>
      <c r="B2053" s="35" t="s">
        <v>1632</v>
      </c>
      <c r="C2053" s="35" t="str">
        <f aca="false">"0004220"</f>
        <v>0004220</v>
      </c>
      <c r="D2053" s="37" t="s">
        <v>1647</v>
      </c>
      <c r="E2053" s="35" t="n">
        <v>1987</v>
      </c>
      <c r="F2053" s="38" t="n">
        <f aca="false">11713.32*1.2</f>
        <v>14055.984</v>
      </c>
      <c r="G2053" s="39" t="n">
        <v>1</v>
      </c>
      <c r="H2053" s="40" t="n">
        <v>670</v>
      </c>
    </row>
    <row r="2054" s="33" customFormat="true" ht="14.25" hidden="false" customHeight="false" outlineLevel="0" collapsed="false">
      <c r="A2054" s="34" t="n">
        <f aca="false">A2053+1</f>
        <v>2049</v>
      </c>
      <c r="B2054" s="35" t="s">
        <v>1632</v>
      </c>
      <c r="C2054" s="35" t="str">
        <f aca="false">"0004334"</f>
        <v>0004334</v>
      </c>
      <c r="D2054" s="37" t="s">
        <v>1648</v>
      </c>
      <c r="E2054" s="35" t="n">
        <v>1972</v>
      </c>
      <c r="F2054" s="38" t="n">
        <f aca="false">244257.44*1.25</f>
        <v>305321.8</v>
      </c>
      <c r="G2054" s="39" t="n">
        <v>1</v>
      </c>
      <c r="H2054" s="40" t="n">
        <v>11630</v>
      </c>
    </row>
    <row r="2055" s="33" customFormat="true" ht="14.25" hidden="false" customHeight="false" outlineLevel="0" collapsed="false">
      <c r="A2055" s="34" t="n">
        <f aca="false">A2054+1</f>
        <v>2050</v>
      </c>
      <c r="B2055" s="35" t="s">
        <v>1632</v>
      </c>
      <c r="C2055" s="35" t="str">
        <f aca="false">"0004440"</f>
        <v>0004440</v>
      </c>
      <c r="D2055" s="37" t="s">
        <v>1194</v>
      </c>
      <c r="E2055" s="35" t="n">
        <v>1987</v>
      </c>
      <c r="F2055" s="38" t="n">
        <v>28.14</v>
      </c>
      <c r="G2055" s="39" t="n">
        <v>8</v>
      </c>
      <c r="H2055" s="40" t="n">
        <v>40</v>
      </c>
    </row>
    <row r="2056" s="33" customFormat="true" ht="14.25" hidden="false" customHeight="false" outlineLevel="0" collapsed="false">
      <c r="A2056" s="34" t="n">
        <f aca="false">A2055+1</f>
        <v>2051</v>
      </c>
      <c r="B2056" s="35" t="s">
        <v>1632</v>
      </c>
      <c r="C2056" s="35" t="str">
        <f aca="false">"0004486"</f>
        <v>0004486</v>
      </c>
      <c r="D2056" s="37" t="s">
        <v>42</v>
      </c>
      <c r="E2056" s="35" t="n">
        <v>1987</v>
      </c>
      <c r="F2056" s="38" t="n">
        <v>56.29</v>
      </c>
      <c r="G2056" s="39" t="n">
        <v>1</v>
      </c>
      <c r="H2056" s="40" t="n">
        <v>5</v>
      </c>
    </row>
    <row r="2057" s="33" customFormat="true" ht="14.25" hidden="false" customHeight="false" outlineLevel="0" collapsed="false">
      <c r="A2057" s="34" t="n">
        <f aca="false">A2056+1</f>
        <v>2052</v>
      </c>
      <c r="B2057" s="35" t="s">
        <v>1632</v>
      </c>
      <c r="C2057" s="35" t="str">
        <f aca="false">"0004571"</f>
        <v>0004571</v>
      </c>
      <c r="D2057" s="37" t="s">
        <v>1649</v>
      </c>
      <c r="E2057" s="35" t="n">
        <v>1987</v>
      </c>
      <c r="F2057" s="38" t="n">
        <f aca="false">3580*7.5</f>
        <v>26850</v>
      </c>
      <c r="G2057" s="39" t="n">
        <v>1</v>
      </c>
      <c r="H2057" s="40" t="n">
        <v>1330</v>
      </c>
    </row>
    <row r="2058" s="33" customFormat="true" ht="14.25" hidden="false" customHeight="false" outlineLevel="0" collapsed="false">
      <c r="A2058" s="34" t="n">
        <f aca="false">A2057+1</f>
        <v>2053</v>
      </c>
      <c r="B2058" s="35" t="s">
        <v>1632</v>
      </c>
      <c r="C2058" s="35" t="str">
        <f aca="false">"0004667"</f>
        <v>0004667</v>
      </c>
      <c r="D2058" s="37" t="s">
        <v>1650</v>
      </c>
      <c r="E2058" s="35" t="n">
        <v>1987</v>
      </c>
      <c r="F2058" s="38" t="n">
        <f aca="false">11300*7.5</f>
        <v>84750</v>
      </c>
      <c r="G2058" s="39" t="n">
        <v>2</v>
      </c>
      <c r="H2058" s="40" t="n">
        <v>8080</v>
      </c>
    </row>
    <row r="2059" s="33" customFormat="true" ht="14.25" hidden="false" customHeight="false" outlineLevel="0" collapsed="false">
      <c r="A2059" s="34" t="n">
        <f aca="false">A2058+1</f>
        <v>2054</v>
      </c>
      <c r="B2059" s="35" t="s">
        <v>1632</v>
      </c>
      <c r="C2059" s="35" t="str">
        <f aca="false">"0004955"</f>
        <v>0004955</v>
      </c>
      <c r="D2059" s="37" t="s">
        <v>42</v>
      </c>
      <c r="E2059" s="35" t="n">
        <v>1987</v>
      </c>
      <c r="F2059" s="38" t="n">
        <v>56.29</v>
      </c>
      <c r="G2059" s="39" t="n">
        <v>3</v>
      </c>
      <c r="H2059" s="40" t="n">
        <v>15</v>
      </c>
    </row>
    <row r="2060" s="33" customFormat="true" ht="14.25" hidden="false" customHeight="false" outlineLevel="0" collapsed="false">
      <c r="A2060" s="34" t="n">
        <f aca="false">A2059+1</f>
        <v>2055</v>
      </c>
      <c r="B2060" s="35" t="s">
        <v>1632</v>
      </c>
      <c r="C2060" s="35" t="str">
        <f aca="false">"0007279"</f>
        <v>0007279</v>
      </c>
      <c r="D2060" s="37" t="s">
        <v>42</v>
      </c>
      <c r="E2060" s="35" t="n">
        <v>1987</v>
      </c>
      <c r="F2060" s="38" t="n">
        <v>50.66</v>
      </c>
      <c r="G2060" s="39" t="n">
        <v>1</v>
      </c>
      <c r="H2060" s="40" t="n">
        <v>5</v>
      </c>
    </row>
    <row r="2061" s="33" customFormat="true" ht="14.25" hidden="false" customHeight="false" outlineLevel="0" collapsed="false">
      <c r="A2061" s="34" t="n">
        <f aca="false">A2060+1</f>
        <v>2056</v>
      </c>
      <c r="B2061" s="35" t="s">
        <v>1632</v>
      </c>
      <c r="C2061" s="35" t="str">
        <f aca="false">"0007593"</f>
        <v>0007593</v>
      </c>
      <c r="D2061" s="37" t="s">
        <v>301</v>
      </c>
      <c r="E2061" s="35" t="n">
        <v>1987</v>
      </c>
      <c r="F2061" s="38" t="n">
        <v>22.51</v>
      </c>
      <c r="G2061" s="39" t="n">
        <v>1</v>
      </c>
      <c r="H2061" s="40" t="n">
        <v>5</v>
      </c>
    </row>
    <row r="2062" s="33" customFormat="true" ht="14.25" hidden="false" customHeight="false" outlineLevel="0" collapsed="false">
      <c r="A2062" s="34" t="n">
        <f aca="false">A2061+1</f>
        <v>2057</v>
      </c>
      <c r="B2062" s="35" t="s">
        <v>1632</v>
      </c>
      <c r="C2062" s="35" t="str">
        <f aca="false">"0008929"</f>
        <v>0008929</v>
      </c>
      <c r="D2062" s="37" t="s">
        <v>1651</v>
      </c>
      <c r="E2062" s="35" t="n">
        <v>1993</v>
      </c>
      <c r="F2062" s="38" t="n">
        <f aca="false">5988.94*1.15</f>
        <v>6887.281</v>
      </c>
      <c r="G2062" s="39" t="n">
        <v>1</v>
      </c>
      <c r="H2062" s="40" t="n">
        <v>380</v>
      </c>
    </row>
    <row r="2063" s="33" customFormat="true" ht="14.25" hidden="false" customHeight="false" outlineLevel="0" collapsed="false">
      <c r="A2063" s="34" t="n">
        <f aca="false">A2062+1</f>
        <v>2058</v>
      </c>
      <c r="B2063" s="35" t="s">
        <v>1632</v>
      </c>
      <c r="C2063" s="35" t="str">
        <f aca="false">"0009200"</f>
        <v>0009200</v>
      </c>
      <c r="D2063" s="37" t="s">
        <v>42</v>
      </c>
      <c r="E2063" s="35" t="n">
        <v>1987</v>
      </c>
      <c r="F2063" s="38" t="n">
        <v>50.66</v>
      </c>
      <c r="G2063" s="39" t="n">
        <v>1</v>
      </c>
      <c r="H2063" s="40" t="n">
        <v>5</v>
      </c>
    </row>
    <row r="2064" s="33" customFormat="true" ht="14.25" hidden="false" customHeight="false" outlineLevel="0" collapsed="false">
      <c r="A2064" s="34" t="n">
        <f aca="false">A2063+1</f>
        <v>2059</v>
      </c>
      <c r="B2064" s="35" t="s">
        <v>1632</v>
      </c>
      <c r="C2064" s="35" t="str">
        <f aca="false">"0009222"</f>
        <v>0009222</v>
      </c>
      <c r="D2064" s="37" t="s">
        <v>1652</v>
      </c>
      <c r="E2064" s="35" t="n">
        <v>1995</v>
      </c>
      <c r="F2064" s="38" t="n">
        <f aca="false">3049.03*1.1</f>
        <v>3353.933</v>
      </c>
      <c r="G2064" s="39" t="n">
        <v>1</v>
      </c>
      <c r="H2064" s="40" t="n">
        <v>180</v>
      </c>
    </row>
    <row r="2065" s="33" customFormat="true" ht="14.25" hidden="false" customHeight="false" outlineLevel="0" collapsed="false">
      <c r="A2065" s="34" t="n">
        <f aca="false">A2064+1</f>
        <v>2060</v>
      </c>
      <c r="B2065" s="35" t="s">
        <v>1632</v>
      </c>
      <c r="C2065" s="35" t="str">
        <f aca="false">"0010143"</f>
        <v>0010143</v>
      </c>
      <c r="D2065" s="37" t="s">
        <v>42</v>
      </c>
      <c r="E2065" s="35" t="n">
        <v>1987</v>
      </c>
      <c r="F2065" s="38" t="n">
        <v>56.29</v>
      </c>
      <c r="G2065" s="39" t="n">
        <v>1</v>
      </c>
      <c r="H2065" s="40" t="n">
        <v>5</v>
      </c>
    </row>
    <row r="2066" s="33" customFormat="true" ht="14.25" hidden="false" customHeight="false" outlineLevel="0" collapsed="false">
      <c r="A2066" s="34" t="n">
        <f aca="false">A2065+1</f>
        <v>2061</v>
      </c>
      <c r="B2066" s="35" t="s">
        <v>1632</v>
      </c>
      <c r="C2066" s="35" t="str">
        <f aca="false">"0010144"</f>
        <v>0010144</v>
      </c>
      <c r="D2066" s="37" t="s">
        <v>42</v>
      </c>
      <c r="E2066" s="35" t="n">
        <v>1987</v>
      </c>
      <c r="F2066" s="38" t="n">
        <v>61.92</v>
      </c>
      <c r="G2066" s="39" t="n">
        <v>2</v>
      </c>
      <c r="H2066" s="40" t="n">
        <v>10</v>
      </c>
    </row>
    <row r="2067" s="33" customFormat="true" ht="14.25" hidden="false" customHeight="false" outlineLevel="0" collapsed="false">
      <c r="A2067" s="34" t="n">
        <f aca="false">A2066+1</f>
        <v>2062</v>
      </c>
      <c r="B2067" s="35" t="s">
        <v>1632</v>
      </c>
      <c r="C2067" s="35" t="str">
        <f aca="false">"0010170"</f>
        <v>0010170</v>
      </c>
      <c r="D2067" s="37" t="s">
        <v>114</v>
      </c>
      <c r="E2067" s="35" t="n">
        <v>1987</v>
      </c>
      <c r="F2067" s="38" t="n">
        <v>84.43</v>
      </c>
      <c r="G2067" s="39" t="n">
        <v>1</v>
      </c>
      <c r="H2067" s="40" t="n">
        <v>5</v>
      </c>
    </row>
    <row r="2068" s="33" customFormat="true" ht="14.25" hidden="false" customHeight="false" outlineLevel="0" collapsed="false">
      <c r="A2068" s="34" t="n">
        <f aca="false">A2067+1</f>
        <v>2063</v>
      </c>
      <c r="B2068" s="35" t="s">
        <v>1632</v>
      </c>
      <c r="C2068" s="35" t="str">
        <f aca="false">"0010837"</f>
        <v>0010837</v>
      </c>
      <c r="D2068" s="37" t="s">
        <v>113</v>
      </c>
      <c r="E2068" s="35" t="n">
        <v>1987</v>
      </c>
      <c r="F2068" s="38" t="n">
        <v>5.63</v>
      </c>
      <c r="G2068" s="39" t="n">
        <v>1</v>
      </c>
      <c r="H2068" s="44" t="s">
        <v>121</v>
      </c>
    </row>
    <row r="2069" s="33" customFormat="true" ht="14.25" hidden="false" customHeight="false" outlineLevel="0" collapsed="false">
      <c r="A2069" s="34" t="n">
        <f aca="false">A2068+1</f>
        <v>2064</v>
      </c>
      <c r="B2069" s="35" t="s">
        <v>1632</v>
      </c>
      <c r="C2069" s="35" t="str">
        <f aca="false">"0012288"</f>
        <v>0012288</v>
      </c>
      <c r="D2069" s="37" t="s">
        <v>311</v>
      </c>
      <c r="E2069" s="35" t="n">
        <v>1968</v>
      </c>
      <c r="F2069" s="38" t="n">
        <v>658.56</v>
      </c>
      <c r="G2069" s="39" t="n">
        <v>1</v>
      </c>
      <c r="H2069" s="40" t="n">
        <v>15</v>
      </c>
    </row>
    <row r="2070" s="33" customFormat="true" ht="14.25" hidden="false" customHeight="false" outlineLevel="0" collapsed="false">
      <c r="A2070" s="34" t="n">
        <f aca="false">A2069+1</f>
        <v>2065</v>
      </c>
      <c r="B2070" s="35" t="s">
        <v>1632</v>
      </c>
      <c r="C2070" s="35" t="str">
        <f aca="false">"0012828"</f>
        <v>0012828</v>
      </c>
      <c r="D2070" s="37" t="s">
        <v>1653</v>
      </c>
      <c r="E2070" s="35" t="n">
        <v>2002</v>
      </c>
      <c r="F2070" s="38" t="n">
        <f aca="false">26000*7.5</f>
        <v>195000</v>
      </c>
      <c r="G2070" s="39" t="n">
        <v>1</v>
      </c>
      <c r="H2070" s="40" t="n">
        <v>12480</v>
      </c>
    </row>
    <row r="2071" s="33" customFormat="true" ht="14.25" hidden="false" customHeight="false" outlineLevel="0" collapsed="false">
      <c r="A2071" s="34" t="n">
        <f aca="false">A2070+1</f>
        <v>2066</v>
      </c>
      <c r="B2071" s="35" t="s">
        <v>1632</v>
      </c>
      <c r="C2071" s="35" t="str">
        <f aca="false">"0012055"</f>
        <v>0012055</v>
      </c>
      <c r="D2071" s="37" t="s">
        <v>191</v>
      </c>
      <c r="E2071" s="35" t="n">
        <v>1987</v>
      </c>
      <c r="F2071" s="38" t="n">
        <v>106.95</v>
      </c>
      <c r="G2071" s="39" t="n">
        <v>24</v>
      </c>
      <c r="H2071" s="40" t="n">
        <v>120</v>
      </c>
    </row>
    <row r="2072" s="33" customFormat="true" ht="14.25" hidden="false" customHeight="false" outlineLevel="0" collapsed="false">
      <c r="A2072" s="34" t="n">
        <f aca="false">A2071+1</f>
        <v>2067</v>
      </c>
      <c r="B2072" s="35" t="s">
        <v>1632</v>
      </c>
      <c r="C2072" s="35" t="str">
        <f aca="false">"0013858"</f>
        <v>0013858</v>
      </c>
      <c r="D2072" s="37" t="s">
        <v>1654</v>
      </c>
      <c r="E2072" s="35" t="n">
        <v>2003</v>
      </c>
      <c r="F2072" s="38" t="n">
        <v>3106.51</v>
      </c>
      <c r="G2072" s="39" t="n">
        <v>1</v>
      </c>
      <c r="H2072" s="40" t="n">
        <v>200</v>
      </c>
    </row>
    <row r="2073" s="33" customFormat="true" ht="14.25" hidden="false" customHeight="false" outlineLevel="0" collapsed="false">
      <c r="A2073" s="34" t="n">
        <f aca="false">A2072+1</f>
        <v>2068</v>
      </c>
      <c r="B2073" s="35" t="s">
        <v>1632</v>
      </c>
      <c r="C2073" s="35" t="str">
        <f aca="false">"0016998"</f>
        <v>0016998</v>
      </c>
      <c r="D2073" s="37" t="s">
        <v>1655</v>
      </c>
      <c r="E2073" s="35" t="n">
        <v>1987</v>
      </c>
      <c r="F2073" s="38" t="n">
        <f aca="false">34194.35*1.2</f>
        <v>41033.22</v>
      </c>
      <c r="G2073" s="39" t="n">
        <v>1</v>
      </c>
      <c r="H2073" s="40" t="n">
        <v>2050</v>
      </c>
    </row>
    <row r="2074" s="33" customFormat="true" ht="14.25" hidden="false" customHeight="false" outlineLevel="0" collapsed="false">
      <c r="A2074" s="34" t="n">
        <f aca="false">A2073+1</f>
        <v>2069</v>
      </c>
      <c r="B2074" s="35" t="s">
        <v>1632</v>
      </c>
      <c r="C2074" s="35" t="str">
        <f aca="false">"0019611"</f>
        <v>0019611</v>
      </c>
      <c r="D2074" s="37" t="s">
        <v>1116</v>
      </c>
      <c r="E2074" s="35" t="n">
        <v>1977</v>
      </c>
      <c r="F2074" s="38" t="n">
        <v>129.46</v>
      </c>
      <c r="G2074" s="39" t="n">
        <v>1</v>
      </c>
      <c r="H2074" s="40" t="n">
        <v>5</v>
      </c>
    </row>
    <row r="2075" s="33" customFormat="true" ht="14.25" hidden="false" customHeight="false" outlineLevel="0" collapsed="false">
      <c r="A2075" s="34" t="n">
        <f aca="false">A2074+1</f>
        <v>2070</v>
      </c>
      <c r="B2075" s="35" t="s">
        <v>1632</v>
      </c>
      <c r="C2075" s="35" t="str">
        <f aca="false">"0034225"</f>
        <v>0034225</v>
      </c>
      <c r="D2075" s="37" t="s">
        <v>1291</v>
      </c>
      <c r="E2075" s="35" t="n">
        <v>2005</v>
      </c>
      <c r="F2075" s="38" t="n">
        <v>2195</v>
      </c>
      <c r="G2075" s="39" t="n">
        <v>1</v>
      </c>
      <c r="H2075" s="40" t="n">
        <v>140</v>
      </c>
    </row>
    <row r="2076" s="33" customFormat="true" ht="14.25" hidden="false" customHeight="false" outlineLevel="0" collapsed="false">
      <c r="A2076" s="34" t="n">
        <f aca="false">A2075+1</f>
        <v>2071</v>
      </c>
      <c r="B2076" s="35" t="s">
        <v>1656</v>
      </c>
      <c r="C2076" s="35" t="str">
        <f aca="false">"0000218"</f>
        <v>0000218</v>
      </c>
      <c r="D2076" s="37" t="s">
        <v>1657</v>
      </c>
      <c r="E2076" s="35" t="n">
        <v>1987</v>
      </c>
      <c r="F2076" s="38" t="n">
        <v>14657.13</v>
      </c>
      <c r="G2076" s="39" t="n">
        <v>1</v>
      </c>
      <c r="H2076" s="40" t="n">
        <v>730</v>
      </c>
    </row>
    <row r="2077" s="33" customFormat="true" ht="14.25" hidden="false" customHeight="false" outlineLevel="0" collapsed="false">
      <c r="A2077" s="34" t="n">
        <f aca="false">A2076+1</f>
        <v>2072</v>
      </c>
      <c r="B2077" s="35" t="s">
        <v>1656</v>
      </c>
      <c r="C2077" s="35" t="str">
        <f aca="false">"0000242"</f>
        <v>0000242</v>
      </c>
      <c r="D2077" s="37" t="s">
        <v>1347</v>
      </c>
      <c r="E2077" s="35" t="n">
        <v>1987</v>
      </c>
      <c r="F2077" s="38" t="n">
        <v>14657.13</v>
      </c>
      <c r="G2077" s="39" t="n">
        <v>1</v>
      </c>
      <c r="H2077" s="40" t="n">
        <v>730</v>
      </c>
    </row>
    <row r="2078" s="33" customFormat="true" ht="14.25" hidden="false" customHeight="false" outlineLevel="0" collapsed="false">
      <c r="A2078" s="34" t="n">
        <f aca="false">A2077+1</f>
        <v>2073</v>
      </c>
      <c r="B2078" s="35" t="s">
        <v>1656</v>
      </c>
      <c r="C2078" s="35" t="str">
        <f aca="false">"0000791"</f>
        <v>0000791</v>
      </c>
      <c r="D2078" s="37" t="s">
        <v>1658</v>
      </c>
      <c r="E2078" s="35" t="n">
        <v>1987</v>
      </c>
      <c r="F2078" s="38" t="n">
        <v>24422.93</v>
      </c>
      <c r="G2078" s="39" t="n">
        <v>1</v>
      </c>
      <c r="H2078" s="40" t="n">
        <v>1250</v>
      </c>
    </row>
    <row r="2079" s="33" customFormat="true" ht="14.25" hidden="false" customHeight="false" outlineLevel="0" collapsed="false">
      <c r="A2079" s="34" t="n">
        <f aca="false">A2078+1</f>
        <v>2074</v>
      </c>
      <c r="B2079" s="35" t="s">
        <v>1656</v>
      </c>
      <c r="C2079" s="35" t="str">
        <f aca="false">"0001074"</f>
        <v>0001074</v>
      </c>
      <c r="D2079" s="37" t="s">
        <v>1659</v>
      </c>
      <c r="E2079" s="35" t="n">
        <v>1987</v>
      </c>
      <c r="F2079" s="38" t="n">
        <v>24422.93</v>
      </c>
      <c r="G2079" s="39" t="n">
        <v>1</v>
      </c>
      <c r="H2079" s="40" t="n">
        <v>1250</v>
      </c>
    </row>
    <row r="2080" s="33" customFormat="true" ht="14.25" hidden="false" customHeight="false" outlineLevel="0" collapsed="false">
      <c r="A2080" s="34" t="n">
        <f aca="false">A2079+1</f>
        <v>2075</v>
      </c>
      <c r="B2080" s="35" t="s">
        <v>1656</v>
      </c>
      <c r="C2080" s="35" t="str">
        <f aca="false">"0004512"</f>
        <v>0004512</v>
      </c>
      <c r="D2080" s="37" t="s">
        <v>1660</v>
      </c>
      <c r="E2080" s="35" t="n">
        <v>1978</v>
      </c>
      <c r="F2080" s="38" t="n">
        <v>14657.13</v>
      </c>
      <c r="G2080" s="39" t="n">
        <v>1</v>
      </c>
      <c r="H2080" s="40" t="n">
        <v>600</v>
      </c>
    </row>
    <row r="2081" s="33" customFormat="true" ht="14.25" hidden="false" customHeight="false" outlineLevel="0" collapsed="false">
      <c r="A2081" s="34" t="n">
        <f aca="false">A2080+1</f>
        <v>2076</v>
      </c>
      <c r="B2081" s="35" t="s">
        <v>1656</v>
      </c>
      <c r="C2081" s="35" t="str">
        <f aca="false">"0004578"</f>
        <v>0004578</v>
      </c>
      <c r="D2081" s="37" t="s">
        <v>257</v>
      </c>
      <c r="E2081" s="35" t="n">
        <v>1978</v>
      </c>
      <c r="F2081" s="38" t="n">
        <f aca="false">1650*7.5</f>
        <v>12375</v>
      </c>
      <c r="G2081" s="39" t="n">
        <v>1</v>
      </c>
      <c r="H2081" s="40" t="n">
        <v>510</v>
      </c>
    </row>
    <row r="2082" s="33" customFormat="true" ht="14.25" hidden="false" customHeight="false" outlineLevel="0" collapsed="false">
      <c r="A2082" s="34" t="n">
        <f aca="false">A2081+1</f>
        <v>2077</v>
      </c>
      <c r="B2082" s="35" t="s">
        <v>1656</v>
      </c>
      <c r="C2082" s="35" t="str">
        <f aca="false">"0004580"</f>
        <v>0004580</v>
      </c>
      <c r="D2082" s="37" t="s">
        <v>1564</v>
      </c>
      <c r="E2082" s="35" t="n">
        <v>1978</v>
      </c>
      <c r="F2082" s="38" t="n">
        <f aca="false">9771.42*1.2</f>
        <v>11725.704</v>
      </c>
      <c r="G2082" s="39" t="n">
        <v>1</v>
      </c>
      <c r="H2082" s="40" t="n">
        <v>480</v>
      </c>
    </row>
    <row r="2083" s="33" customFormat="true" ht="14.25" hidden="false" customHeight="false" outlineLevel="0" collapsed="false">
      <c r="A2083" s="34" t="n">
        <f aca="false">A2082+1</f>
        <v>2078</v>
      </c>
      <c r="B2083" s="35" t="s">
        <v>1656</v>
      </c>
      <c r="C2083" s="35" t="str">
        <f aca="false">"0004631"</f>
        <v>0004631</v>
      </c>
      <c r="D2083" s="37" t="s">
        <v>1650</v>
      </c>
      <c r="E2083" s="35" t="n">
        <v>1978</v>
      </c>
      <c r="F2083" s="38" t="n">
        <f aca="false">11300*7.5</f>
        <v>84750</v>
      </c>
      <c r="G2083" s="39" t="n">
        <v>1</v>
      </c>
      <c r="H2083" s="40" t="n">
        <v>3470</v>
      </c>
    </row>
    <row r="2084" s="33" customFormat="true" ht="14.25" hidden="false" customHeight="false" outlineLevel="0" collapsed="false">
      <c r="A2084" s="34" t="n">
        <f aca="false">A2083+1</f>
        <v>2079</v>
      </c>
      <c r="B2084" s="35" t="s">
        <v>1656</v>
      </c>
      <c r="C2084" s="35" t="str">
        <f aca="false">"0005280"</f>
        <v>0005280</v>
      </c>
      <c r="D2084" s="37" t="s">
        <v>1661</v>
      </c>
      <c r="E2084" s="35" t="n">
        <v>1982</v>
      </c>
      <c r="F2084" s="38" t="n">
        <f aca="false">9771.42*1.2</f>
        <v>11725.704</v>
      </c>
      <c r="G2084" s="39" t="n">
        <v>1</v>
      </c>
      <c r="H2084" s="40" t="n">
        <v>525</v>
      </c>
    </row>
    <row r="2085" s="33" customFormat="true" ht="14.25" hidden="false" customHeight="false" outlineLevel="0" collapsed="false">
      <c r="A2085" s="34" t="n">
        <f aca="false">A2084+1</f>
        <v>2080</v>
      </c>
      <c r="B2085" s="35" t="s">
        <v>1656</v>
      </c>
      <c r="C2085" s="35" t="str">
        <f aca="false">"0007482"</f>
        <v>0007482</v>
      </c>
      <c r="D2085" s="37" t="s">
        <v>1662</v>
      </c>
      <c r="E2085" s="35" t="n">
        <v>1987</v>
      </c>
      <c r="F2085" s="38" t="n">
        <f aca="false">1860*7.5</f>
        <v>13950</v>
      </c>
      <c r="G2085" s="39" t="n">
        <v>1</v>
      </c>
      <c r="H2085" s="40" t="n">
        <v>660</v>
      </c>
    </row>
    <row r="2086" s="33" customFormat="true" ht="14.25" hidden="false" customHeight="false" outlineLevel="0" collapsed="false">
      <c r="A2086" s="34" t="n">
        <f aca="false">A2085+1</f>
        <v>2081</v>
      </c>
      <c r="B2086" s="35" t="s">
        <v>1656</v>
      </c>
      <c r="C2086" s="35" t="str">
        <f aca="false">"0010862"</f>
        <v>0010862</v>
      </c>
      <c r="D2086" s="37" t="s">
        <v>1663</v>
      </c>
      <c r="E2086" s="35" t="n">
        <v>2000</v>
      </c>
      <c r="F2086" s="38" t="n">
        <v>73474.53</v>
      </c>
      <c r="G2086" s="39" t="n">
        <v>1</v>
      </c>
      <c r="H2086" s="40" t="n">
        <v>4560</v>
      </c>
    </row>
    <row r="2087" s="33" customFormat="true" ht="14.25" hidden="false" customHeight="false" outlineLevel="0" collapsed="false">
      <c r="A2087" s="34" t="n">
        <f aca="false">A2086+1</f>
        <v>2082</v>
      </c>
      <c r="B2087" s="35" t="s">
        <v>1656</v>
      </c>
      <c r="C2087" s="35" t="str">
        <f aca="false">"0010863"</f>
        <v>0010863</v>
      </c>
      <c r="D2087" s="37" t="s">
        <v>1664</v>
      </c>
      <c r="E2087" s="35" t="n">
        <v>2000</v>
      </c>
      <c r="F2087" s="38" t="n">
        <v>25089.35</v>
      </c>
      <c r="G2087" s="39" t="n">
        <v>1</v>
      </c>
      <c r="H2087" s="40" t="n">
        <v>1560</v>
      </c>
    </row>
    <row r="2088" s="33" customFormat="true" ht="14.25" hidden="false" customHeight="false" outlineLevel="0" collapsed="false">
      <c r="A2088" s="34" t="n">
        <f aca="false">A2087+1</f>
        <v>2083</v>
      </c>
      <c r="B2088" s="35" t="s">
        <v>1656</v>
      </c>
      <c r="C2088" s="35" t="str">
        <f aca="false">"0013409"</f>
        <v>0013409</v>
      </c>
      <c r="D2088" s="37" t="s">
        <v>191</v>
      </c>
      <c r="E2088" s="35" t="n">
        <v>1987</v>
      </c>
      <c r="F2088" s="38" t="n">
        <v>1345.26</v>
      </c>
      <c r="G2088" s="39" t="n">
        <v>1</v>
      </c>
      <c r="H2088" s="40" t="n">
        <v>60</v>
      </c>
    </row>
    <row r="2089" s="33" customFormat="true" ht="14.25" hidden="false" customHeight="false" outlineLevel="0" collapsed="false">
      <c r="A2089" s="34" t="n">
        <f aca="false">A2088+1</f>
        <v>2084</v>
      </c>
      <c r="B2089" s="35" t="s">
        <v>1656</v>
      </c>
      <c r="C2089" s="35" t="str">
        <f aca="false">"0014476"</f>
        <v>0014476</v>
      </c>
      <c r="D2089" s="37" t="s">
        <v>205</v>
      </c>
      <c r="E2089" s="35" t="n">
        <v>1987</v>
      </c>
      <c r="F2089" s="38" t="n">
        <v>1885.61</v>
      </c>
      <c r="G2089" s="39" t="n">
        <v>1</v>
      </c>
      <c r="H2089" s="40" t="n">
        <v>80</v>
      </c>
    </row>
    <row r="2090" s="33" customFormat="true" ht="14.25" hidden="false" customHeight="false" outlineLevel="0" collapsed="false">
      <c r="A2090" s="34" t="n">
        <f aca="false">A2089+1</f>
        <v>2085</v>
      </c>
      <c r="B2090" s="35" t="s">
        <v>1656</v>
      </c>
      <c r="C2090" s="35" t="str">
        <f aca="false">"0019603"</f>
        <v>0019603</v>
      </c>
      <c r="D2090" s="37" t="s">
        <v>1116</v>
      </c>
      <c r="E2090" s="35" t="n">
        <v>1977</v>
      </c>
      <c r="F2090" s="38" t="n">
        <f aca="false">129.46*1.2</f>
        <v>155.352</v>
      </c>
      <c r="G2090" s="39" t="n">
        <v>1</v>
      </c>
      <c r="H2090" s="40" t="n">
        <v>5</v>
      </c>
    </row>
    <row r="2091" s="33" customFormat="true" ht="14.25" hidden="false" customHeight="false" outlineLevel="0" collapsed="false">
      <c r="A2091" s="49" t="n">
        <f aca="false">A2090+1</f>
        <v>2086</v>
      </c>
      <c r="B2091" s="50" t="s">
        <v>1656</v>
      </c>
      <c r="C2091" s="50" t="str">
        <f aca="false">"0040800"</f>
        <v>0040800</v>
      </c>
      <c r="D2091" s="51" t="s">
        <v>1665</v>
      </c>
      <c r="E2091" s="50" t="n">
        <v>2010</v>
      </c>
      <c r="F2091" s="52" t="n">
        <v>8580</v>
      </c>
      <c r="G2091" s="53" t="n">
        <v>1</v>
      </c>
      <c r="H2091" s="54" t="n">
        <v>2000</v>
      </c>
    </row>
    <row r="2092" s="33" customFormat="true" ht="6" hidden="false" customHeight="true" outlineLevel="0" collapsed="false">
      <c r="A2092" s="55"/>
      <c r="B2092" s="56"/>
      <c r="C2092" s="57"/>
      <c r="D2092" s="58"/>
      <c r="E2092" s="59"/>
      <c r="F2092" s="60"/>
      <c r="G2092" s="61"/>
      <c r="H2092" s="62"/>
    </row>
    <row r="2093" s="33" customFormat="true" ht="15.75" hidden="false" customHeight="false" outlineLevel="0" collapsed="false">
      <c r="B2093" s="63"/>
      <c r="G2093" s="64" t="s">
        <v>1666</v>
      </c>
      <c r="H2093" s="65" t="n">
        <f aca="false">SUM(H6:H2091)</f>
        <v>16148100</v>
      </c>
    </row>
    <row r="2094" s="33" customFormat="true" ht="14.25" hidden="false" customHeight="false" outlineLevel="0" collapsed="false">
      <c r="B2094" s="66"/>
      <c r="C2094" s="67"/>
      <c r="D2094" s="68" t="s">
        <v>1667</v>
      </c>
      <c r="E2094" s="68"/>
      <c r="F2094" s="69" t="n">
        <v>7.5</v>
      </c>
      <c r="G2094" s="70" t="s">
        <v>1668</v>
      </c>
      <c r="H2094" s="71" t="n">
        <f aca="false">H2093/F2094</f>
        <v>2153080</v>
      </c>
    </row>
    <row r="2095" s="33" customFormat="true" ht="15" hidden="false" customHeight="false" outlineLevel="0" collapsed="false">
      <c r="B2095" s="63" t="s">
        <v>1669</v>
      </c>
    </row>
    <row r="2096" s="33" customFormat="true" ht="3" hidden="false" customHeight="true" outlineLevel="0" collapsed="false">
      <c r="B2096" s="63"/>
    </row>
    <row r="2097" s="33" customFormat="true" ht="14.25" hidden="false" customHeight="false" outlineLevel="0" collapsed="false">
      <c r="B2097" s="72" t="s">
        <v>1670</v>
      </c>
    </row>
    <row r="2098" customFormat="false" ht="15" hidden="false" customHeight="false" outlineLevel="0" collapsed="false">
      <c r="B2098" s="73" t="s">
        <v>1671</v>
      </c>
    </row>
  </sheetData>
  <mergeCells count="1">
    <mergeCell ref="D2094:E2094"/>
  </mergeCells>
  <printOptions headings="false" gridLines="false" gridLinesSet="true" horizontalCentered="false" verticalCentered="false"/>
  <pageMargins left="0.629861111111111" right="0.196527777777778" top="0.7875" bottom="0.432638888888889" header="0.39375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&amp;C&amp;"Arial,Regular"PROCJENA VRIJEDNOSTI DIJELA POKRETNINA ● PROIZVODNA SREDSTVA
&amp;10ULJANIK SGD d.d., u stečaju &amp;11- Lokacija SGD &amp;10(Uljanik) Pula, Flaciusova 1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2020-06-03T09:11:10Z</dcterms:created>
  <dc:creator>Vence</dc:creator>
  <dc:description/>
  <dc:language>hr-HR</dc:language>
  <cp:lastModifiedBy>Vence</cp:lastModifiedBy>
  <cp:lastPrinted>2020-06-03T10:02:25Z</cp:lastPrinted>
  <dcterms:modified xsi:type="dcterms:W3CDTF">2020-06-03T10:06:26Z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